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19 Личные папки\Коновалова Н.В\Инвестка\"/>
    </mc:Choice>
  </mc:AlternateContent>
  <bookViews>
    <workbookView xWindow="0" yWindow="0" windowWidth="21570" windowHeight="8145"/>
  </bookViews>
  <sheets>
    <sheet name="Смета 12 гр. по ФЕР" sheetId="5" r:id="rId1"/>
    <sheet name="Source" sheetId="1" r:id="rId2"/>
    <sheet name="SourceObSm" sheetId="2" r:id="rId3"/>
    <sheet name="SmtRes" sheetId="3" r:id="rId4"/>
    <sheet name="EtalonRes" sheetId="4" r:id="rId5"/>
  </sheets>
  <definedNames>
    <definedName name="_xlnm.Print_Titles" localSheetId="0">'Смета 12 гр. по ФЕР'!$28:$28</definedName>
    <definedName name="_xlnm.Print_Area" localSheetId="0">'Смета 12 гр. по ФЕР'!$A$1:$L$188</definedName>
  </definedNames>
  <calcPr calcId="152511"/>
</workbook>
</file>

<file path=xl/calcChain.xml><?xml version="1.0" encoding="utf-8"?>
<calcChain xmlns="http://schemas.openxmlformats.org/spreadsheetml/2006/main">
  <c r="J180" i="5" l="1"/>
  <c r="J179" i="5"/>
  <c r="J177" i="5"/>
  <c r="K175" i="5"/>
  <c r="AF177" i="5"/>
  <c r="I186" i="5"/>
  <c r="I183" i="5"/>
  <c r="D186" i="5"/>
  <c r="D183" i="5"/>
  <c r="C180" i="5"/>
  <c r="C179" i="5"/>
  <c r="I24" i="5"/>
  <c r="G24" i="5"/>
  <c r="G23" i="5"/>
  <c r="I23" i="5"/>
  <c r="I22" i="5"/>
  <c r="G22" i="5"/>
  <c r="I21" i="5"/>
  <c r="G21" i="5"/>
  <c r="I20" i="5"/>
  <c r="G20" i="5"/>
  <c r="I19" i="5"/>
  <c r="G19" i="5"/>
  <c r="G18" i="5"/>
  <c r="L177" i="5"/>
  <c r="G177" i="5"/>
  <c r="A177" i="5"/>
  <c r="L173" i="5"/>
  <c r="G173" i="5"/>
  <c r="A173" i="5"/>
  <c r="L169" i="5"/>
  <c r="J169" i="5"/>
  <c r="G169" i="5"/>
  <c r="A169" i="5"/>
  <c r="Q167" i="5"/>
  <c r="P167" i="5"/>
  <c r="O167" i="5"/>
  <c r="L167" i="5"/>
  <c r="J167" i="5"/>
  <c r="G167" i="5"/>
  <c r="Z167" i="5"/>
  <c r="Y167" i="5"/>
  <c r="X167" i="5"/>
  <c r="W167" i="5"/>
  <c r="K166" i="5"/>
  <c r="J166" i="5"/>
  <c r="R166" i="5"/>
  <c r="H166" i="5"/>
  <c r="G166" i="5"/>
  <c r="F166" i="5"/>
  <c r="K165" i="5"/>
  <c r="J165" i="5"/>
  <c r="H165" i="5"/>
  <c r="G165" i="5"/>
  <c r="F165" i="5"/>
  <c r="V164" i="5"/>
  <c r="T164" i="5"/>
  <c r="U164" i="5"/>
  <c r="S164" i="5"/>
  <c r="F164" i="5"/>
  <c r="E164" i="5"/>
  <c r="D164" i="5"/>
  <c r="I164" i="5"/>
  <c r="C164" i="5"/>
  <c r="B164" i="5"/>
  <c r="A164" i="5"/>
  <c r="Q163" i="5"/>
  <c r="P163" i="5"/>
  <c r="O163" i="5"/>
  <c r="L163" i="5"/>
  <c r="J163" i="5"/>
  <c r="G163" i="5"/>
  <c r="Z163" i="5"/>
  <c r="Y163" i="5"/>
  <c r="X163" i="5"/>
  <c r="W163" i="5"/>
  <c r="K161" i="5"/>
  <c r="H161" i="5"/>
  <c r="K160" i="5"/>
  <c r="H160" i="5"/>
  <c r="L162" i="5"/>
  <c r="G162" i="5"/>
  <c r="E162" i="5"/>
  <c r="J161" i="5"/>
  <c r="E161" i="5"/>
  <c r="J160" i="5"/>
  <c r="E160" i="5"/>
  <c r="K159" i="5"/>
  <c r="J159" i="5"/>
  <c r="H159" i="5"/>
  <c r="G159" i="5"/>
  <c r="F159" i="5"/>
  <c r="K158" i="5"/>
  <c r="J158" i="5"/>
  <c r="R158" i="5"/>
  <c r="H158" i="5"/>
  <c r="G158" i="5"/>
  <c r="F158" i="5"/>
  <c r="K157" i="5"/>
  <c r="J157" i="5"/>
  <c r="H157" i="5"/>
  <c r="G157" i="5"/>
  <c r="F157" i="5"/>
  <c r="K156" i="5"/>
  <c r="J156" i="5"/>
  <c r="R156" i="5"/>
  <c r="H156" i="5"/>
  <c r="G156" i="5"/>
  <c r="F156" i="5"/>
  <c r="V155" i="5"/>
  <c r="T155" i="5"/>
  <c r="U155" i="5"/>
  <c r="S155" i="5"/>
  <c r="F155" i="5"/>
  <c r="E155" i="5"/>
  <c r="D155" i="5"/>
  <c r="I155" i="5"/>
  <c r="C155" i="5"/>
  <c r="B155" i="5"/>
  <c r="A155" i="5"/>
  <c r="A154" i="5"/>
  <c r="L150" i="5"/>
  <c r="J150" i="5"/>
  <c r="G150" i="5"/>
  <c r="A150" i="5"/>
  <c r="Q148" i="5"/>
  <c r="P148" i="5"/>
  <c r="O148" i="5"/>
  <c r="L148" i="5"/>
  <c r="J148" i="5"/>
  <c r="G148" i="5"/>
  <c r="Z148" i="5"/>
  <c r="Y148" i="5"/>
  <c r="X148" i="5"/>
  <c r="W148" i="5"/>
  <c r="K145" i="5"/>
  <c r="H145" i="5"/>
  <c r="K144" i="5"/>
  <c r="H144" i="5"/>
  <c r="K147" i="5"/>
  <c r="J147" i="5"/>
  <c r="Z147" i="5"/>
  <c r="Y147" i="5"/>
  <c r="X147" i="5"/>
  <c r="W147" i="5"/>
  <c r="H147" i="5"/>
  <c r="F147" i="5"/>
  <c r="V147" i="5"/>
  <c r="T147" i="5"/>
  <c r="U147" i="5"/>
  <c r="S147" i="5"/>
  <c r="E147" i="5"/>
  <c r="D147" i="5"/>
  <c r="C147" i="5"/>
  <c r="B147" i="5"/>
  <c r="A147" i="5"/>
  <c r="L146" i="5"/>
  <c r="G146" i="5"/>
  <c r="E146" i="5"/>
  <c r="J145" i="5"/>
  <c r="E145" i="5"/>
  <c r="J144" i="5"/>
  <c r="E144" i="5"/>
  <c r="K143" i="5"/>
  <c r="J143" i="5"/>
  <c r="R143" i="5"/>
  <c r="H143" i="5"/>
  <c r="G143" i="5"/>
  <c r="F143" i="5"/>
  <c r="K142" i="5"/>
  <c r="J142" i="5"/>
  <c r="H142" i="5"/>
  <c r="G142" i="5"/>
  <c r="F142" i="5"/>
  <c r="K141" i="5"/>
  <c r="J141" i="5"/>
  <c r="R141" i="5"/>
  <c r="H141" i="5"/>
  <c r="G141" i="5"/>
  <c r="F141" i="5"/>
  <c r="C140" i="5"/>
  <c r="V139" i="5"/>
  <c r="T139" i="5"/>
  <c r="U139" i="5"/>
  <c r="S139" i="5"/>
  <c r="F139" i="5"/>
  <c r="E139" i="5"/>
  <c r="D139" i="5"/>
  <c r="I139" i="5"/>
  <c r="C139" i="5"/>
  <c r="B139" i="5"/>
  <c r="A139" i="5"/>
  <c r="Q138" i="5"/>
  <c r="P138" i="5"/>
  <c r="O138" i="5"/>
  <c r="L138" i="5"/>
  <c r="J138" i="5"/>
  <c r="G138" i="5"/>
  <c r="Z138" i="5"/>
  <c r="Y138" i="5"/>
  <c r="X138" i="5"/>
  <c r="W138" i="5"/>
  <c r="K137" i="5"/>
  <c r="J137" i="5"/>
  <c r="H137" i="5"/>
  <c r="G137" i="5"/>
  <c r="F137" i="5"/>
  <c r="V137" i="5"/>
  <c r="T137" i="5"/>
  <c r="U137" i="5"/>
  <c r="S137" i="5"/>
  <c r="E137" i="5"/>
  <c r="D137" i="5"/>
  <c r="I137" i="5"/>
  <c r="C137" i="5"/>
  <c r="B137" i="5"/>
  <c r="A137" i="5"/>
  <c r="Q136" i="5"/>
  <c r="P136" i="5"/>
  <c r="O136" i="5"/>
  <c r="L136" i="5"/>
  <c r="J136" i="5"/>
  <c r="G136" i="5"/>
  <c r="Z136" i="5"/>
  <c r="Y136" i="5"/>
  <c r="X136" i="5"/>
  <c r="W136" i="5"/>
  <c r="K134" i="5"/>
  <c r="H134" i="5"/>
  <c r="K133" i="5"/>
  <c r="H133" i="5"/>
  <c r="L135" i="5"/>
  <c r="G135" i="5"/>
  <c r="E135" i="5"/>
  <c r="J134" i="5"/>
  <c r="E134" i="5"/>
  <c r="J133" i="5"/>
  <c r="E133" i="5"/>
  <c r="K132" i="5"/>
  <c r="J132" i="5"/>
  <c r="H132" i="5"/>
  <c r="G132" i="5"/>
  <c r="F132" i="5"/>
  <c r="K131" i="5"/>
  <c r="J131" i="5"/>
  <c r="R131" i="5"/>
  <c r="H131" i="5"/>
  <c r="G131" i="5"/>
  <c r="F131" i="5"/>
  <c r="K130" i="5"/>
  <c r="J130" i="5"/>
  <c r="H130" i="5"/>
  <c r="G130" i="5"/>
  <c r="F130" i="5"/>
  <c r="K129" i="5"/>
  <c r="J129" i="5"/>
  <c r="R129" i="5"/>
  <c r="H129" i="5"/>
  <c r="G129" i="5"/>
  <c r="F129" i="5"/>
  <c r="V128" i="5"/>
  <c r="T128" i="5"/>
  <c r="U128" i="5"/>
  <c r="S128" i="5"/>
  <c r="F128" i="5"/>
  <c r="E128" i="5"/>
  <c r="D128" i="5"/>
  <c r="I128" i="5"/>
  <c r="C128" i="5"/>
  <c r="B128" i="5"/>
  <c r="A128" i="5"/>
  <c r="Q127" i="5"/>
  <c r="P127" i="5"/>
  <c r="O127" i="5"/>
  <c r="L127" i="5"/>
  <c r="J127" i="5"/>
  <c r="G127" i="5"/>
  <c r="Z127" i="5"/>
  <c r="Y127" i="5"/>
  <c r="X127" i="5"/>
  <c r="W127" i="5"/>
  <c r="C126" i="5"/>
  <c r="K125" i="5"/>
  <c r="J125" i="5"/>
  <c r="H125" i="5"/>
  <c r="G125" i="5"/>
  <c r="F125" i="5"/>
  <c r="V125" i="5"/>
  <c r="T125" i="5"/>
  <c r="U125" i="5"/>
  <c r="S125" i="5"/>
  <c r="E125" i="5"/>
  <c r="D125" i="5"/>
  <c r="I125" i="5"/>
  <c r="C125" i="5"/>
  <c r="B125" i="5"/>
  <c r="A125" i="5"/>
  <c r="Q124" i="5"/>
  <c r="P124" i="5"/>
  <c r="O124" i="5"/>
  <c r="L124" i="5"/>
  <c r="J124" i="5"/>
  <c r="G124" i="5"/>
  <c r="Z124" i="5"/>
  <c r="Y124" i="5"/>
  <c r="X124" i="5"/>
  <c r="W124" i="5"/>
  <c r="K122" i="5"/>
  <c r="H122" i="5"/>
  <c r="K121" i="5"/>
  <c r="H121" i="5"/>
  <c r="L123" i="5"/>
  <c r="G123" i="5"/>
  <c r="E123" i="5"/>
  <c r="J122" i="5"/>
  <c r="E122" i="5"/>
  <c r="J121" i="5"/>
  <c r="E121" i="5"/>
  <c r="K120" i="5"/>
  <c r="J120" i="5"/>
  <c r="H120" i="5"/>
  <c r="G120" i="5"/>
  <c r="F120" i="5"/>
  <c r="K119" i="5"/>
  <c r="J119" i="5"/>
  <c r="R119" i="5"/>
  <c r="H119" i="5"/>
  <c r="G119" i="5"/>
  <c r="F119" i="5"/>
  <c r="K118" i="5"/>
  <c r="J118" i="5"/>
  <c r="H118" i="5"/>
  <c r="G118" i="5"/>
  <c r="F118" i="5"/>
  <c r="K117" i="5"/>
  <c r="J117" i="5"/>
  <c r="R117" i="5"/>
  <c r="H117" i="5"/>
  <c r="G117" i="5"/>
  <c r="F117" i="5"/>
  <c r="C116" i="5"/>
  <c r="V115" i="5"/>
  <c r="T115" i="5"/>
  <c r="U115" i="5"/>
  <c r="S115" i="5"/>
  <c r="F115" i="5"/>
  <c r="E115" i="5"/>
  <c r="D115" i="5"/>
  <c r="I115" i="5"/>
  <c r="C115" i="5"/>
  <c r="B115" i="5"/>
  <c r="A115" i="5"/>
  <c r="Q114" i="5"/>
  <c r="P114" i="5"/>
  <c r="O114" i="5"/>
  <c r="L114" i="5"/>
  <c r="J114" i="5"/>
  <c r="G114" i="5"/>
  <c r="Z114" i="5"/>
  <c r="Y114" i="5"/>
  <c r="X114" i="5"/>
  <c r="W114" i="5"/>
  <c r="K112" i="5"/>
  <c r="H112" i="5"/>
  <c r="K111" i="5"/>
  <c r="H111" i="5"/>
  <c r="L113" i="5"/>
  <c r="G113" i="5"/>
  <c r="E113" i="5"/>
  <c r="J112" i="5"/>
  <c r="E112" i="5"/>
  <c r="J111" i="5"/>
  <c r="E111" i="5"/>
  <c r="K110" i="5"/>
  <c r="J110" i="5"/>
  <c r="H110" i="5"/>
  <c r="G110" i="5"/>
  <c r="F110" i="5"/>
  <c r="K109" i="5"/>
  <c r="J109" i="5"/>
  <c r="R109" i="5"/>
  <c r="H109" i="5"/>
  <c r="G109" i="5"/>
  <c r="F109" i="5"/>
  <c r="K108" i="5"/>
  <c r="J108" i="5"/>
  <c r="H108" i="5"/>
  <c r="G108" i="5"/>
  <c r="F108" i="5"/>
  <c r="K107" i="5"/>
  <c r="J107" i="5"/>
  <c r="R107" i="5"/>
  <c r="H107" i="5"/>
  <c r="G107" i="5"/>
  <c r="F107" i="5"/>
  <c r="C106" i="5"/>
  <c r="V105" i="5"/>
  <c r="T105" i="5"/>
  <c r="U105" i="5"/>
  <c r="S105" i="5"/>
  <c r="F105" i="5"/>
  <c r="E105" i="5"/>
  <c r="D105" i="5"/>
  <c r="I105" i="5"/>
  <c r="C105" i="5"/>
  <c r="B105" i="5"/>
  <c r="A105" i="5"/>
  <c r="Q104" i="5"/>
  <c r="P104" i="5"/>
  <c r="O104" i="5"/>
  <c r="L104" i="5"/>
  <c r="J104" i="5"/>
  <c r="G104" i="5"/>
  <c r="Z104" i="5"/>
  <c r="Y104" i="5"/>
  <c r="X104" i="5"/>
  <c r="W104" i="5"/>
  <c r="K102" i="5"/>
  <c r="H102" i="5"/>
  <c r="K101" i="5"/>
  <c r="H101" i="5"/>
  <c r="L103" i="5"/>
  <c r="G103" i="5"/>
  <c r="E103" i="5"/>
  <c r="J102" i="5"/>
  <c r="E102" i="5"/>
  <c r="J101" i="5"/>
  <c r="E101" i="5"/>
  <c r="K100" i="5"/>
  <c r="J100" i="5"/>
  <c r="H100" i="5"/>
  <c r="G100" i="5"/>
  <c r="F100" i="5"/>
  <c r="K99" i="5"/>
  <c r="J99" i="5"/>
  <c r="R99" i="5"/>
  <c r="H99" i="5"/>
  <c r="G99" i="5"/>
  <c r="F99" i="5"/>
  <c r="K98" i="5"/>
  <c r="J98" i="5"/>
  <c r="H98" i="5"/>
  <c r="G98" i="5"/>
  <c r="F98" i="5"/>
  <c r="K97" i="5"/>
  <c r="J97" i="5"/>
  <c r="R97" i="5"/>
  <c r="H97" i="5"/>
  <c r="G97" i="5"/>
  <c r="F97" i="5"/>
  <c r="C96" i="5"/>
  <c r="V95" i="5"/>
  <c r="T95" i="5"/>
  <c r="U95" i="5"/>
  <c r="S95" i="5"/>
  <c r="F95" i="5"/>
  <c r="E95" i="5"/>
  <c r="D95" i="5"/>
  <c r="I95" i="5"/>
  <c r="C95" i="5"/>
  <c r="B95" i="5"/>
  <c r="A95" i="5"/>
  <c r="Q94" i="5"/>
  <c r="P94" i="5"/>
  <c r="O94" i="5"/>
  <c r="L94" i="5"/>
  <c r="J94" i="5"/>
  <c r="G94" i="5"/>
  <c r="Z94" i="5"/>
  <c r="Y94" i="5"/>
  <c r="X94" i="5"/>
  <c r="W94" i="5"/>
  <c r="K92" i="5"/>
  <c r="H92" i="5"/>
  <c r="K91" i="5"/>
  <c r="H91" i="5"/>
  <c r="L93" i="5"/>
  <c r="G93" i="5"/>
  <c r="E93" i="5"/>
  <c r="J92" i="5"/>
  <c r="E92" i="5"/>
  <c r="J91" i="5"/>
  <c r="E91" i="5"/>
  <c r="K90" i="5"/>
  <c r="J90" i="5"/>
  <c r="H90" i="5"/>
  <c r="G90" i="5"/>
  <c r="F90" i="5"/>
  <c r="K89" i="5"/>
  <c r="J89" i="5"/>
  <c r="R89" i="5"/>
  <c r="H89" i="5"/>
  <c r="G89" i="5"/>
  <c r="F89" i="5"/>
  <c r="K88" i="5"/>
  <c r="J88" i="5"/>
  <c r="H88" i="5"/>
  <c r="G88" i="5"/>
  <c r="F88" i="5"/>
  <c r="K87" i="5"/>
  <c r="J87" i="5"/>
  <c r="R87" i="5"/>
  <c r="H87" i="5"/>
  <c r="G87" i="5"/>
  <c r="F87" i="5"/>
  <c r="C86" i="5"/>
  <c r="V85" i="5"/>
  <c r="T85" i="5"/>
  <c r="U85" i="5"/>
  <c r="S85" i="5"/>
  <c r="F85" i="5"/>
  <c r="E85" i="5"/>
  <c r="D85" i="5"/>
  <c r="I85" i="5"/>
  <c r="C85" i="5"/>
  <c r="B85" i="5"/>
  <c r="A85" i="5"/>
  <c r="A84" i="5"/>
  <c r="L80" i="5"/>
  <c r="J80" i="5"/>
  <c r="G80" i="5"/>
  <c r="A80" i="5"/>
  <c r="Q78" i="5"/>
  <c r="P78" i="5"/>
  <c r="O78" i="5"/>
  <c r="L78" i="5"/>
  <c r="J78" i="5"/>
  <c r="G78" i="5"/>
  <c r="Z78" i="5"/>
  <c r="Y78" i="5"/>
  <c r="X78" i="5"/>
  <c r="W78" i="5"/>
  <c r="K77" i="5"/>
  <c r="J77" i="5"/>
  <c r="H77" i="5"/>
  <c r="G77" i="5"/>
  <c r="F77" i="5"/>
  <c r="V76" i="5"/>
  <c r="T76" i="5"/>
  <c r="U76" i="5"/>
  <c r="S76" i="5"/>
  <c r="F76" i="5"/>
  <c r="E76" i="5"/>
  <c r="D76" i="5"/>
  <c r="I76" i="5"/>
  <c r="C76" i="5"/>
  <c r="B76" i="5"/>
  <c r="A76" i="5"/>
  <c r="Q75" i="5"/>
  <c r="P75" i="5"/>
  <c r="O75" i="5"/>
  <c r="L75" i="5"/>
  <c r="J75" i="5"/>
  <c r="G75" i="5"/>
  <c r="Z75" i="5"/>
  <c r="Y75" i="5"/>
  <c r="X75" i="5"/>
  <c r="W75" i="5"/>
  <c r="K74" i="5"/>
  <c r="J74" i="5"/>
  <c r="H74" i="5"/>
  <c r="G74" i="5"/>
  <c r="F74" i="5"/>
  <c r="V73" i="5"/>
  <c r="T73" i="5"/>
  <c r="U73" i="5"/>
  <c r="S73" i="5"/>
  <c r="F73" i="5"/>
  <c r="E73" i="5"/>
  <c r="D73" i="5"/>
  <c r="I73" i="5"/>
  <c r="C73" i="5"/>
  <c r="B73" i="5"/>
  <c r="A73" i="5"/>
  <c r="Q72" i="5"/>
  <c r="P72" i="5"/>
  <c r="O72" i="5"/>
  <c r="L72" i="5"/>
  <c r="J72" i="5"/>
  <c r="G72" i="5"/>
  <c r="Z72" i="5"/>
  <c r="Y72" i="5"/>
  <c r="X72" i="5"/>
  <c r="W72" i="5"/>
  <c r="K70" i="5"/>
  <c r="H70" i="5"/>
  <c r="K69" i="5"/>
  <c r="H69" i="5"/>
  <c r="L71" i="5"/>
  <c r="G71" i="5"/>
  <c r="E71" i="5"/>
  <c r="J70" i="5"/>
  <c r="E70" i="5"/>
  <c r="J69" i="5"/>
  <c r="E69" i="5"/>
  <c r="K68" i="5"/>
  <c r="J68" i="5"/>
  <c r="R68" i="5"/>
  <c r="H68" i="5"/>
  <c r="G68" i="5"/>
  <c r="F68" i="5"/>
  <c r="C67" i="5"/>
  <c r="V66" i="5"/>
  <c r="T66" i="5"/>
  <c r="U66" i="5"/>
  <c r="S66" i="5"/>
  <c r="F66" i="5"/>
  <c r="E66" i="5"/>
  <c r="D66" i="5"/>
  <c r="I66" i="5"/>
  <c r="C66" i="5"/>
  <c r="B66" i="5"/>
  <c r="A66" i="5"/>
  <c r="Q65" i="5"/>
  <c r="P65" i="5"/>
  <c r="O65" i="5"/>
  <c r="L65" i="5"/>
  <c r="J65" i="5"/>
  <c r="G65" i="5"/>
  <c r="Z65" i="5"/>
  <c r="Y65" i="5"/>
  <c r="X65" i="5"/>
  <c r="W65" i="5"/>
  <c r="K63" i="5"/>
  <c r="H63" i="5"/>
  <c r="K62" i="5"/>
  <c r="H62" i="5"/>
  <c r="L64" i="5"/>
  <c r="G64" i="5"/>
  <c r="E64" i="5"/>
  <c r="J63" i="5"/>
  <c r="E63" i="5"/>
  <c r="J62" i="5"/>
  <c r="E62" i="5"/>
  <c r="K61" i="5"/>
  <c r="J61" i="5"/>
  <c r="R61" i="5"/>
  <c r="H61" i="5"/>
  <c r="G61" i="5"/>
  <c r="F61" i="5"/>
  <c r="K60" i="5"/>
  <c r="J60" i="5"/>
  <c r="H60" i="5"/>
  <c r="G60" i="5"/>
  <c r="F60" i="5"/>
  <c r="K59" i="5"/>
  <c r="J59" i="5"/>
  <c r="R59" i="5"/>
  <c r="H59" i="5"/>
  <c r="G59" i="5"/>
  <c r="F59" i="5"/>
  <c r="C58" i="5"/>
  <c r="V57" i="5"/>
  <c r="T57" i="5"/>
  <c r="U57" i="5"/>
  <c r="S57" i="5"/>
  <c r="F57" i="5"/>
  <c r="E57" i="5"/>
  <c r="D57" i="5"/>
  <c r="I57" i="5"/>
  <c r="C57" i="5"/>
  <c r="B57" i="5"/>
  <c r="A57" i="5"/>
  <c r="Q56" i="5"/>
  <c r="P56" i="5"/>
  <c r="O56" i="5"/>
  <c r="L56" i="5"/>
  <c r="J56" i="5"/>
  <c r="G56" i="5"/>
  <c r="Z56" i="5"/>
  <c r="Y56" i="5"/>
  <c r="X56" i="5"/>
  <c r="W56" i="5"/>
  <c r="K54" i="5"/>
  <c r="H54" i="5"/>
  <c r="K53" i="5"/>
  <c r="H53" i="5"/>
  <c r="L55" i="5"/>
  <c r="G55" i="5"/>
  <c r="E55" i="5"/>
  <c r="J54" i="5"/>
  <c r="E54" i="5"/>
  <c r="J53" i="5"/>
  <c r="E53" i="5"/>
  <c r="K52" i="5"/>
  <c r="J52" i="5"/>
  <c r="R52" i="5"/>
  <c r="H52" i="5"/>
  <c r="G52" i="5"/>
  <c r="F52" i="5"/>
  <c r="K51" i="5"/>
  <c r="J51" i="5"/>
  <c r="H51" i="5"/>
  <c r="G51" i="5"/>
  <c r="F51" i="5"/>
  <c r="K50" i="5"/>
  <c r="J50" i="5"/>
  <c r="R50" i="5"/>
  <c r="H50" i="5"/>
  <c r="G50" i="5"/>
  <c r="F50" i="5"/>
  <c r="V49" i="5"/>
  <c r="T49" i="5"/>
  <c r="U49" i="5"/>
  <c r="S49" i="5"/>
  <c r="F49" i="5"/>
  <c r="E49" i="5"/>
  <c r="D49" i="5"/>
  <c r="I49" i="5"/>
  <c r="C49" i="5"/>
  <c r="B49" i="5"/>
  <c r="A49" i="5"/>
  <c r="Q48" i="5"/>
  <c r="P48" i="5"/>
  <c r="O48" i="5"/>
  <c r="L48" i="5"/>
  <c r="J48" i="5"/>
  <c r="G48" i="5"/>
  <c r="Z48" i="5"/>
  <c r="Y48" i="5"/>
  <c r="X48" i="5"/>
  <c r="W48" i="5"/>
  <c r="K47" i="5"/>
  <c r="J47" i="5"/>
  <c r="H47" i="5"/>
  <c r="G47" i="5"/>
  <c r="F47" i="5"/>
  <c r="V47" i="5"/>
  <c r="T47" i="5"/>
  <c r="U47" i="5"/>
  <c r="S47" i="5"/>
  <c r="E47" i="5"/>
  <c r="D47" i="5"/>
  <c r="I47" i="5"/>
  <c r="C47" i="5"/>
  <c r="B47" i="5"/>
  <c r="A47" i="5"/>
  <c r="Q46" i="5"/>
  <c r="P46" i="5"/>
  <c r="O46" i="5"/>
  <c r="L46" i="5"/>
  <c r="J46" i="5"/>
  <c r="G46" i="5"/>
  <c r="Z46" i="5"/>
  <c r="Y46" i="5"/>
  <c r="X46" i="5"/>
  <c r="W46" i="5"/>
  <c r="K44" i="5"/>
  <c r="H44" i="5"/>
  <c r="K43" i="5"/>
  <c r="H43" i="5"/>
  <c r="L45" i="5"/>
  <c r="G45" i="5"/>
  <c r="E45" i="5"/>
  <c r="J44" i="5"/>
  <c r="E44" i="5"/>
  <c r="J43" i="5"/>
  <c r="E43" i="5"/>
  <c r="K42" i="5"/>
  <c r="J42" i="5"/>
  <c r="R42" i="5"/>
  <c r="H42" i="5"/>
  <c r="G42" i="5"/>
  <c r="F42" i="5"/>
  <c r="C41" i="5"/>
  <c r="V40" i="5"/>
  <c r="T40" i="5"/>
  <c r="U40" i="5"/>
  <c r="S40" i="5"/>
  <c r="F40" i="5"/>
  <c r="E40" i="5"/>
  <c r="D40" i="5"/>
  <c r="I40" i="5"/>
  <c r="C40" i="5"/>
  <c r="B40" i="5"/>
  <c r="A40" i="5"/>
  <c r="Q39" i="5"/>
  <c r="P39" i="5"/>
  <c r="O39" i="5"/>
  <c r="L39" i="5"/>
  <c r="J39" i="5"/>
  <c r="G39" i="5"/>
  <c r="Z39" i="5"/>
  <c r="Y39" i="5"/>
  <c r="X39" i="5"/>
  <c r="W39" i="5"/>
  <c r="K37" i="5"/>
  <c r="H37" i="5"/>
  <c r="K36" i="5"/>
  <c r="H36" i="5"/>
  <c r="L38" i="5"/>
  <c r="G38" i="5"/>
  <c r="E38" i="5"/>
  <c r="J37" i="5"/>
  <c r="E37" i="5"/>
  <c r="J36" i="5"/>
  <c r="E36" i="5"/>
  <c r="K35" i="5"/>
  <c r="J35" i="5"/>
  <c r="R35" i="5"/>
  <c r="H35" i="5"/>
  <c r="G35" i="5"/>
  <c r="F35" i="5"/>
  <c r="C34" i="5"/>
  <c r="V33" i="5"/>
  <c r="T33" i="5"/>
  <c r="U33" i="5"/>
  <c r="S33" i="5"/>
  <c r="F33" i="5"/>
  <c r="E33" i="5"/>
  <c r="D33" i="5"/>
  <c r="I33" i="5"/>
  <c r="C33" i="5"/>
  <c r="B33" i="5"/>
  <c r="A33" i="5"/>
  <c r="A32" i="5"/>
  <c r="A30" i="5"/>
  <c r="A14" i="5"/>
  <c r="H5" i="5"/>
  <c r="A1" i="5"/>
  <c r="A1" i="4" l="1"/>
  <c r="A2" i="4"/>
  <c r="A3" i="4"/>
  <c r="A4" i="4"/>
  <c r="A5" i="4"/>
  <c r="A6" i="4"/>
  <c r="A7" i="4"/>
  <c r="A8" i="4"/>
  <c r="A9" i="4"/>
  <c r="A1" i="3"/>
  <c r="CX1" i="3"/>
  <c r="CY1" i="3"/>
  <c r="CZ1" i="3"/>
  <c r="DA1" i="3"/>
  <c r="DB1" i="3"/>
  <c r="DC1" i="3"/>
  <c r="A2" i="3"/>
  <c r="CY2" i="3"/>
  <c r="CZ2" i="3"/>
  <c r="DB2" i="3" s="1"/>
  <c r="DA2" i="3"/>
  <c r="DC2" i="3"/>
  <c r="A3" i="3"/>
  <c r="CX3" i="3"/>
  <c r="CY3" i="3"/>
  <c r="CZ3" i="3"/>
  <c r="DB3" i="3" s="1"/>
  <c r="DA3" i="3"/>
  <c r="DC3" i="3"/>
  <c r="A4" i="3"/>
  <c r="CX4" i="3"/>
  <c r="CY4" i="3"/>
  <c r="CZ4" i="3"/>
  <c r="DA4" i="3"/>
  <c r="DB4" i="3"/>
  <c r="DC4" i="3"/>
  <c r="A5" i="3"/>
  <c r="CY5" i="3"/>
  <c r="CZ5" i="3"/>
  <c r="DA5" i="3"/>
  <c r="DB5" i="3"/>
  <c r="DC5" i="3"/>
  <c r="A6" i="3"/>
  <c r="CY6" i="3"/>
  <c r="CZ6" i="3"/>
  <c r="DB6" i="3" s="1"/>
  <c r="DA6" i="3"/>
  <c r="DC6" i="3"/>
  <c r="A7" i="3"/>
  <c r="CY7" i="3"/>
  <c r="CZ7" i="3"/>
  <c r="DB7" i="3" s="1"/>
  <c r="DA7" i="3"/>
  <c r="DC7" i="3"/>
  <c r="A8" i="3"/>
  <c r="CY8" i="3"/>
  <c r="CZ8" i="3"/>
  <c r="DA8" i="3"/>
  <c r="DB8" i="3"/>
  <c r="DC8" i="3"/>
  <c r="A9" i="3"/>
  <c r="CX9" i="3"/>
  <c r="CY9" i="3"/>
  <c r="CZ9" i="3"/>
  <c r="DA9" i="3"/>
  <c r="DB9" i="3"/>
  <c r="DC9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D22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F26" i="1"/>
  <c r="Z26" i="1"/>
  <c r="AA26" i="1"/>
  <c r="AM26" i="1"/>
  <c r="AN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K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I28" i="1"/>
  <c r="Q28" i="1"/>
  <c r="R28" i="1"/>
  <c r="AC28" i="1"/>
  <c r="AD28" i="1"/>
  <c r="AE28" i="1"/>
  <c r="AF28" i="1"/>
  <c r="CT28" i="1" s="1"/>
  <c r="S28" i="1" s="1"/>
  <c r="AG28" i="1"/>
  <c r="AH28" i="1"/>
  <c r="AI28" i="1"/>
  <c r="CW28" i="1" s="1"/>
  <c r="V28" i="1" s="1"/>
  <c r="AJ28" i="1"/>
  <c r="CX28" i="1" s="1"/>
  <c r="W28" i="1" s="1"/>
  <c r="CQ28" i="1"/>
  <c r="P28" i="1" s="1"/>
  <c r="CP28" i="1" s="1"/>
  <c r="O28" i="1" s="1"/>
  <c r="CR28" i="1"/>
  <c r="CS28" i="1"/>
  <c r="CU28" i="1"/>
  <c r="T28" i="1" s="1"/>
  <c r="CV28" i="1"/>
  <c r="U28" i="1" s="1"/>
  <c r="AH37" i="1" s="1"/>
  <c r="CZ28" i="1"/>
  <c r="Y28" i="1" s="1"/>
  <c r="FR28" i="1"/>
  <c r="GL28" i="1"/>
  <c r="GO28" i="1"/>
  <c r="GP28" i="1"/>
  <c r="GV28" i="1"/>
  <c r="HC28" i="1" s="1"/>
  <c r="GX28" i="1"/>
  <c r="C29" i="1"/>
  <c r="D29" i="1"/>
  <c r="I29" i="1"/>
  <c r="CX2" i="3" s="1"/>
  <c r="Q29" i="1"/>
  <c r="R29" i="1"/>
  <c r="GK29" i="1" s="1"/>
  <c r="AC29" i="1"/>
  <c r="AD29" i="1"/>
  <c r="AE29" i="1"/>
  <c r="AF29" i="1"/>
  <c r="CT29" i="1" s="1"/>
  <c r="S29" i="1" s="1"/>
  <c r="AG29" i="1"/>
  <c r="AH29" i="1"/>
  <c r="AI29" i="1"/>
  <c r="CW29" i="1" s="1"/>
  <c r="V29" i="1" s="1"/>
  <c r="AJ29" i="1"/>
  <c r="CX29" i="1" s="1"/>
  <c r="W29" i="1" s="1"/>
  <c r="CQ29" i="1"/>
  <c r="P29" i="1" s="1"/>
  <c r="CR29" i="1"/>
  <c r="CS29" i="1"/>
  <c r="CU29" i="1"/>
  <c r="T29" i="1" s="1"/>
  <c r="CV29" i="1"/>
  <c r="U29" i="1" s="1"/>
  <c r="FR29" i="1"/>
  <c r="GL29" i="1"/>
  <c r="GO29" i="1"/>
  <c r="GP29" i="1"/>
  <c r="GV29" i="1"/>
  <c r="HC29" i="1" s="1"/>
  <c r="GX29" i="1"/>
  <c r="P30" i="1"/>
  <c r="U30" i="1"/>
  <c r="AC30" i="1"/>
  <c r="AD30" i="1"/>
  <c r="AE30" i="1"/>
  <c r="CS30" i="1" s="1"/>
  <c r="R30" i="1" s="1"/>
  <c r="GK30" i="1" s="1"/>
  <c r="AF30" i="1"/>
  <c r="AG30" i="1"/>
  <c r="AH30" i="1"/>
  <c r="CV30" i="1" s="1"/>
  <c r="AI30" i="1"/>
  <c r="CW30" i="1" s="1"/>
  <c r="V30" i="1" s="1"/>
  <c r="AJ30" i="1"/>
  <c r="CQ30" i="1"/>
  <c r="CR30" i="1"/>
  <c r="Q30" i="1" s="1"/>
  <c r="CT30" i="1"/>
  <c r="S30" i="1" s="1"/>
  <c r="CY30" i="1" s="1"/>
  <c r="X30" i="1" s="1"/>
  <c r="CU30" i="1"/>
  <c r="T30" i="1" s="1"/>
  <c r="CX30" i="1"/>
  <c r="W30" i="1" s="1"/>
  <c r="CZ30" i="1"/>
  <c r="Y30" i="1" s="1"/>
  <c r="FR30" i="1"/>
  <c r="GL30" i="1"/>
  <c r="BZ37" i="1" s="1"/>
  <c r="BZ26" i="1" s="1"/>
  <c r="GO30" i="1"/>
  <c r="GP30" i="1"/>
  <c r="GV30" i="1"/>
  <c r="HC30" i="1" s="1"/>
  <c r="GX30" i="1" s="1"/>
  <c r="C31" i="1"/>
  <c r="D31" i="1"/>
  <c r="R31" i="1"/>
  <c r="GK31" i="1" s="1"/>
  <c r="U31" i="1"/>
  <c r="V31" i="1"/>
  <c r="AC31" i="1"/>
  <c r="AD31" i="1"/>
  <c r="AE31" i="1"/>
  <c r="AF31" i="1"/>
  <c r="CT31" i="1" s="1"/>
  <c r="S31" i="1" s="1"/>
  <c r="AG31" i="1"/>
  <c r="AH31" i="1"/>
  <c r="AI31" i="1"/>
  <c r="AJ31" i="1"/>
  <c r="CX31" i="1" s="1"/>
  <c r="W31" i="1" s="1"/>
  <c r="CQ31" i="1"/>
  <c r="P31" i="1" s="1"/>
  <c r="CR31" i="1"/>
  <c r="Q31" i="1" s="1"/>
  <c r="CS31" i="1"/>
  <c r="CU31" i="1"/>
  <c r="T31" i="1" s="1"/>
  <c r="CV31" i="1"/>
  <c r="CW31" i="1"/>
  <c r="FR31" i="1"/>
  <c r="GL31" i="1"/>
  <c r="GO31" i="1"/>
  <c r="GP31" i="1"/>
  <c r="GV31" i="1"/>
  <c r="HC31" i="1" s="1"/>
  <c r="GX31" i="1" s="1"/>
  <c r="C32" i="1"/>
  <c r="D32" i="1"/>
  <c r="I32" i="1"/>
  <c r="AC32" i="1"/>
  <c r="AD32" i="1"/>
  <c r="AE32" i="1"/>
  <c r="AF32" i="1"/>
  <c r="CT32" i="1" s="1"/>
  <c r="AG32" i="1"/>
  <c r="AH32" i="1"/>
  <c r="AI32" i="1"/>
  <c r="CW32" i="1" s="1"/>
  <c r="AJ32" i="1"/>
  <c r="CX32" i="1" s="1"/>
  <c r="CQ32" i="1"/>
  <c r="CR32" i="1"/>
  <c r="CS32" i="1"/>
  <c r="R32" i="1" s="1"/>
  <c r="GK32" i="1" s="1"/>
  <c r="CU32" i="1"/>
  <c r="CV32" i="1"/>
  <c r="U32" i="1" s="1"/>
  <c r="FR32" i="1"/>
  <c r="GL32" i="1"/>
  <c r="GO32" i="1"/>
  <c r="GP32" i="1"/>
  <c r="GV32" i="1"/>
  <c r="HC32" i="1" s="1"/>
  <c r="GX32" i="1"/>
  <c r="C33" i="1"/>
  <c r="D33" i="1"/>
  <c r="I33" i="1"/>
  <c r="CX8" i="3" s="1"/>
  <c r="P33" i="1"/>
  <c r="Q33" i="1"/>
  <c r="AC33" i="1"/>
  <c r="AD33" i="1"/>
  <c r="AE33" i="1"/>
  <c r="AF33" i="1"/>
  <c r="CT33" i="1" s="1"/>
  <c r="AG33" i="1"/>
  <c r="AH33" i="1"/>
  <c r="AI33" i="1"/>
  <c r="CW33" i="1" s="1"/>
  <c r="V33" i="1" s="1"/>
  <c r="AJ33" i="1"/>
  <c r="CX33" i="1" s="1"/>
  <c r="CQ33" i="1"/>
  <c r="CR33" i="1"/>
  <c r="CS33" i="1"/>
  <c r="R33" i="1" s="1"/>
  <c r="GK33" i="1" s="1"/>
  <c r="CU33" i="1"/>
  <c r="T33" i="1" s="1"/>
  <c r="CV33" i="1"/>
  <c r="U33" i="1" s="1"/>
  <c r="FR33" i="1"/>
  <c r="GL33" i="1"/>
  <c r="GO33" i="1"/>
  <c r="GP33" i="1"/>
  <c r="GV33" i="1"/>
  <c r="HC33" i="1" s="1"/>
  <c r="GX33" i="1"/>
  <c r="Q34" i="1"/>
  <c r="S34" i="1"/>
  <c r="T34" i="1"/>
  <c r="AC34" i="1"/>
  <c r="AD34" i="1"/>
  <c r="AE34" i="1"/>
  <c r="CS34" i="1" s="1"/>
  <c r="R34" i="1" s="1"/>
  <c r="AF34" i="1"/>
  <c r="AG34" i="1"/>
  <c r="AH34" i="1"/>
  <c r="AI34" i="1"/>
  <c r="CW34" i="1" s="1"/>
  <c r="V34" i="1" s="1"/>
  <c r="AJ34" i="1"/>
  <c r="CQ34" i="1"/>
  <c r="P34" i="1" s="1"/>
  <c r="CR34" i="1"/>
  <c r="CT34" i="1"/>
  <c r="CU34" i="1"/>
  <c r="CV34" i="1"/>
  <c r="U34" i="1" s="1"/>
  <c r="CX34" i="1"/>
  <c r="W34" i="1" s="1"/>
  <c r="FR34" i="1"/>
  <c r="GK34" i="1"/>
  <c r="GL34" i="1"/>
  <c r="GN34" i="1"/>
  <c r="GO34" i="1"/>
  <c r="GV34" i="1"/>
  <c r="HC34" i="1"/>
  <c r="GX34" i="1" s="1"/>
  <c r="U35" i="1"/>
  <c r="AC35" i="1"/>
  <c r="CQ35" i="1" s="1"/>
  <c r="P35" i="1" s="1"/>
  <c r="AD35" i="1"/>
  <c r="AE35" i="1"/>
  <c r="CS35" i="1" s="1"/>
  <c r="R35" i="1" s="1"/>
  <c r="GK35" i="1" s="1"/>
  <c r="AF35" i="1"/>
  <c r="AB35" i="1" s="1"/>
  <c r="AG35" i="1"/>
  <c r="CU35" i="1" s="1"/>
  <c r="T35" i="1" s="1"/>
  <c r="AH35" i="1"/>
  <c r="AI35" i="1"/>
  <c r="CW35" i="1" s="1"/>
  <c r="V35" i="1" s="1"/>
  <c r="AJ35" i="1"/>
  <c r="CR35" i="1"/>
  <c r="Q35" i="1" s="1"/>
  <c r="CT35" i="1"/>
  <c r="S35" i="1" s="1"/>
  <c r="CV35" i="1"/>
  <c r="CX35" i="1"/>
  <c r="W35" i="1" s="1"/>
  <c r="FR35" i="1"/>
  <c r="GL35" i="1"/>
  <c r="GN35" i="1"/>
  <c r="GO35" i="1"/>
  <c r="GV35" i="1"/>
  <c r="HC35" i="1" s="1"/>
  <c r="GX35" i="1"/>
  <c r="B37" i="1"/>
  <c r="B26" i="1" s="1"/>
  <c r="C37" i="1"/>
  <c r="C26" i="1" s="1"/>
  <c r="D37" i="1"/>
  <c r="D26" i="1" s="1"/>
  <c r="F37" i="1"/>
  <c r="G37" i="1"/>
  <c r="G26" i="1" s="1"/>
  <c r="BC37" i="1"/>
  <c r="BC26" i="1" s="1"/>
  <c r="BX37" i="1"/>
  <c r="BY37" i="1"/>
  <c r="CC37" i="1"/>
  <c r="CJ37" i="1"/>
  <c r="CK37" i="1"/>
  <c r="BB37" i="1" s="1"/>
  <c r="CL37" i="1"/>
  <c r="CL26" i="1" s="1"/>
  <c r="F53" i="1"/>
  <c r="D66" i="1"/>
  <c r="E68" i="1"/>
  <c r="G68" i="1"/>
  <c r="Z68" i="1"/>
  <c r="AA68" i="1"/>
  <c r="AM68" i="1"/>
  <c r="AN68" i="1"/>
  <c r="BD68" i="1"/>
  <c r="BE68" i="1"/>
  <c r="BF68" i="1"/>
  <c r="BG68" i="1"/>
  <c r="BH68" i="1"/>
  <c r="BI68" i="1"/>
  <c r="BJ68" i="1"/>
  <c r="BK68" i="1"/>
  <c r="BL68" i="1"/>
  <c r="BM68" i="1"/>
  <c r="BN68" i="1"/>
  <c r="BO68" i="1"/>
  <c r="BP68" i="1"/>
  <c r="BQ68" i="1"/>
  <c r="BR68" i="1"/>
  <c r="BS68" i="1"/>
  <c r="BT68" i="1"/>
  <c r="BU68" i="1"/>
  <c r="BV68" i="1"/>
  <c r="BW68" i="1"/>
  <c r="BX68" i="1"/>
  <c r="CL68" i="1"/>
  <c r="CM68" i="1"/>
  <c r="CN68" i="1"/>
  <c r="CO68" i="1"/>
  <c r="CP68" i="1"/>
  <c r="CQ68" i="1"/>
  <c r="CR68" i="1"/>
  <c r="CS68" i="1"/>
  <c r="CT68" i="1"/>
  <c r="CU68" i="1"/>
  <c r="CV68" i="1"/>
  <c r="CW68" i="1"/>
  <c r="CX68" i="1"/>
  <c r="CY68" i="1"/>
  <c r="CZ68" i="1"/>
  <c r="DA68" i="1"/>
  <c r="DB68" i="1"/>
  <c r="DC68" i="1"/>
  <c r="DD68" i="1"/>
  <c r="DE68" i="1"/>
  <c r="DF68" i="1"/>
  <c r="DG68" i="1"/>
  <c r="DH68" i="1"/>
  <c r="DI68" i="1"/>
  <c r="DJ68" i="1"/>
  <c r="DK68" i="1"/>
  <c r="DL68" i="1"/>
  <c r="DM68" i="1"/>
  <c r="DN68" i="1"/>
  <c r="DO68" i="1"/>
  <c r="DP68" i="1"/>
  <c r="DQ68" i="1"/>
  <c r="DR68" i="1"/>
  <c r="DS68" i="1"/>
  <c r="DT68" i="1"/>
  <c r="DU68" i="1"/>
  <c r="DV68" i="1"/>
  <c r="DW68" i="1"/>
  <c r="DX68" i="1"/>
  <c r="DY68" i="1"/>
  <c r="DZ68" i="1"/>
  <c r="EA68" i="1"/>
  <c r="EB68" i="1"/>
  <c r="EC68" i="1"/>
  <c r="ED68" i="1"/>
  <c r="EE68" i="1"/>
  <c r="EF68" i="1"/>
  <c r="EG68" i="1"/>
  <c r="EH68" i="1"/>
  <c r="EI68" i="1"/>
  <c r="EJ68" i="1"/>
  <c r="EK68" i="1"/>
  <c r="EL68" i="1"/>
  <c r="EM68" i="1"/>
  <c r="EN68" i="1"/>
  <c r="EO68" i="1"/>
  <c r="EP68" i="1"/>
  <c r="EQ68" i="1"/>
  <c r="ER68" i="1"/>
  <c r="ES68" i="1"/>
  <c r="ET68" i="1"/>
  <c r="EU68" i="1"/>
  <c r="EV68" i="1"/>
  <c r="EW68" i="1"/>
  <c r="EX68" i="1"/>
  <c r="EY68" i="1"/>
  <c r="EZ68" i="1"/>
  <c r="FA68" i="1"/>
  <c r="FB68" i="1"/>
  <c r="FC68" i="1"/>
  <c r="FD68" i="1"/>
  <c r="FE68" i="1"/>
  <c r="FF68" i="1"/>
  <c r="FG68" i="1"/>
  <c r="FH68" i="1"/>
  <c r="FI68" i="1"/>
  <c r="FJ68" i="1"/>
  <c r="FK68" i="1"/>
  <c r="FL68" i="1"/>
  <c r="FM68" i="1"/>
  <c r="FN68" i="1"/>
  <c r="FO68" i="1"/>
  <c r="FP68" i="1"/>
  <c r="FQ68" i="1"/>
  <c r="FR68" i="1"/>
  <c r="FS68" i="1"/>
  <c r="FT68" i="1"/>
  <c r="FU68" i="1"/>
  <c r="FV68" i="1"/>
  <c r="FW68" i="1"/>
  <c r="FX68" i="1"/>
  <c r="FY68" i="1"/>
  <c r="FZ68" i="1"/>
  <c r="GA68" i="1"/>
  <c r="GB68" i="1"/>
  <c r="GC68" i="1"/>
  <c r="GD68" i="1"/>
  <c r="GE68" i="1"/>
  <c r="GF68" i="1"/>
  <c r="GG68" i="1"/>
  <c r="GH68" i="1"/>
  <c r="GI68" i="1"/>
  <c r="GJ68" i="1"/>
  <c r="GK68" i="1"/>
  <c r="GL68" i="1"/>
  <c r="GM68" i="1"/>
  <c r="GN68" i="1"/>
  <c r="GO68" i="1"/>
  <c r="GP68" i="1"/>
  <c r="GQ68" i="1"/>
  <c r="GR68" i="1"/>
  <c r="GS68" i="1"/>
  <c r="GT68" i="1"/>
  <c r="GU68" i="1"/>
  <c r="GV68" i="1"/>
  <c r="GW68" i="1"/>
  <c r="GX68" i="1"/>
  <c r="I70" i="1"/>
  <c r="Q70" i="1"/>
  <c r="AC70" i="1"/>
  <c r="CQ70" i="1" s="1"/>
  <c r="P70" i="1" s="1"/>
  <c r="AD70" i="1"/>
  <c r="AE70" i="1"/>
  <c r="AF70" i="1"/>
  <c r="AG70" i="1"/>
  <c r="CU70" i="1" s="1"/>
  <c r="T70" i="1" s="1"/>
  <c r="AH70" i="1"/>
  <c r="AI70" i="1"/>
  <c r="CW70" i="1" s="1"/>
  <c r="V70" i="1" s="1"/>
  <c r="AJ70" i="1"/>
  <c r="CX70" i="1" s="1"/>
  <c r="W70" i="1" s="1"/>
  <c r="CP70" i="1"/>
  <c r="O70" i="1" s="1"/>
  <c r="CR70" i="1"/>
  <c r="CS70" i="1"/>
  <c r="R70" i="1" s="1"/>
  <c r="GK70" i="1" s="1"/>
  <c r="CT70" i="1"/>
  <c r="S70" i="1" s="1"/>
  <c r="CV70" i="1"/>
  <c r="U70" i="1" s="1"/>
  <c r="FR70" i="1"/>
  <c r="GL70" i="1"/>
  <c r="GN70" i="1"/>
  <c r="GP70" i="1"/>
  <c r="GV70" i="1"/>
  <c r="HC70" i="1" s="1"/>
  <c r="GX70" i="1"/>
  <c r="I71" i="1"/>
  <c r="U71" i="1"/>
  <c r="AC71" i="1"/>
  <c r="AD71" i="1"/>
  <c r="AE71" i="1"/>
  <c r="CS71" i="1" s="1"/>
  <c r="R71" i="1" s="1"/>
  <c r="AF71" i="1"/>
  <c r="AG71" i="1"/>
  <c r="CU71" i="1" s="1"/>
  <c r="T71" i="1" s="1"/>
  <c r="AH71" i="1"/>
  <c r="AI71" i="1"/>
  <c r="CW71" i="1" s="1"/>
  <c r="V71" i="1" s="1"/>
  <c r="AJ71" i="1"/>
  <c r="CR71" i="1"/>
  <c r="Q71" i="1" s="1"/>
  <c r="CT71" i="1"/>
  <c r="S71" i="1" s="1"/>
  <c r="CV71" i="1"/>
  <c r="CX71" i="1"/>
  <c r="W71" i="1" s="1"/>
  <c r="CY71" i="1"/>
  <c r="X71" i="1" s="1"/>
  <c r="CZ71" i="1"/>
  <c r="Y71" i="1" s="1"/>
  <c r="FR71" i="1"/>
  <c r="GK71" i="1"/>
  <c r="GL71" i="1"/>
  <c r="GN71" i="1"/>
  <c r="GP71" i="1"/>
  <c r="GV71" i="1"/>
  <c r="HC71" i="1" s="1"/>
  <c r="GX71" i="1" s="1"/>
  <c r="I72" i="1"/>
  <c r="Q72" i="1"/>
  <c r="AC72" i="1"/>
  <c r="CQ72" i="1" s="1"/>
  <c r="P72" i="1" s="1"/>
  <c r="CP72" i="1" s="1"/>
  <c r="O72" i="1" s="1"/>
  <c r="AD72" i="1"/>
  <c r="AE72" i="1"/>
  <c r="CS72" i="1" s="1"/>
  <c r="R72" i="1" s="1"/>
  <c r="GK72" i="1" s="1"/>
  <c r="AF72" i="1"/>
  <c r="CT72" i="1" s="1"/>
  <c r="S72" i="1" s="1"/>
  <c r="AG72" i="1"/>
  <c r="CU72" i="1" s="1"/>
  <c r="T72" i="1" s="1"/>
  <c r="AH72" i="1"/>
  <c r="AI72" i="1"/>
  <c r="CW72" i="1" s="1"/>
  <c r="V72" i="1" s="1"/>
  <c r="AJ72" i="1"/>
  <c r="CX72" i="1" s="1"/>
  <c r="W72" i="1" s="1"/>
  <c r="CR72" i="1"/>
  <c r="CV72" i="1"/>
  <c r="U72" i="1" s="1"/>
  <c r="FR72" i="1"/>
  <c r="GL72" i="1"/>
  <c r="GN72" i="1"/>
  <c r="CB80" i="1" s="1"/>
  <c r="GP72" i="1"/>
  <c r="GV72" i="1"/>
  <c r="HC72" i="1" s="1"/>
  <c r="GX72" i="1"/>
  <c r="I73" i="1"/>
  <c r="U73" i="1"/>
  <c r="AC73" i="1"/>
  <c r="AD73" i="1"/>
  <c r="AE73" i="1"/>
  <c r="CS73" i="1" s="1"/>
  <c r="R73" i="1" s="1"/>
  <c r="GK73" i="1" s="1"/>
  <c r="AF73" i="1"/>
  <c r="AG73" i="1"/>
  <c r="CU73" i="1" s="1"/>
  <c r="T73" i="1" s="1"/>
  <c r="AH73" i="1"/>
  <c r="AI73" i="1"/>
  <c r="CW73" i="1" s="1"/>
  <c r="V73" i="1" s="1"/>
  <c r="AJ73" i="1"/>
  <c r="CR73" i="1"/>
  <c r="Q73" i="1" s="1"/>
  <c r="CT73" i="1"/>
  <c r="S73" i="1" s="1"/>
  <c r="CZ73" i="1" s="1"/>
  <c r="Y73" i="1" s="1"/>
  <c r="CV73" i="1"/>
  <c r="CX73" i="1"/>
  <c r="W73" i="1" s="1"/>
  <c r="CY73" i="1"/>
  <c r="X73" i="1" s="1"/>
  <c r="FR73" i="1"/>
  <c r="GL73" i="1"/>
  <c r="GN73" i="1"/>
  <c r="GP73" i="1"/>
  <c r="GV73" i="1"/>
  <c r="HC73" i="1" s="1"/>
  <c r="GX73" i="1" s="1"/>
  <c r="I74" i="1"/>
  <c r="Q74" i="1"/>
  <c r="U74" i="1"/>
  <c r="AC74" i="1"/>
  <c r="CQ74" i="1" s="1"/>
  <c r="P74" i="1" s="1"/>
  <c r="AD74" i="1"/>
  <c r="AE74" i="1"/>
  <c r="AF74" i="1"/>
  <c r="AG74" i="1"/>
  <c r="CU74" i="1" s="1"/>
  <c r="T74" i="1" s="1"/>
  <c r="AH74" i="1"/>
  <c r="AI74" i="1"/>
  <c r="CW74" i="1" s="1"/>
  <c r="V74" i="1" s="1"/>
  <c r="AJ74" i="1"/>
  <c r="CX74" i="1" s="1"/>
  <c r="W74" i="1" s="1"/>
  <c r="CP74" i="1"/>
  <c r="O74" i="1" s="1"/>
  <c r="CR74" i="1"/>
  <c r="CS74" i="1"/>
  <c r="R74" i="1" s="1"/>
  <c r="GK74" i="1" s="1"/>
  <c r="CT74" i="1"/>
  <c r="S74" i="1" s="1"/>
  <c r="CY74" i="1" s="1"/>
  <c r="X74" i="1" s="1"/>
  <c r="CV74" i="1"/>
  <c r="CZ74" i="1"/>
  <c r="Y74" i="1" s="1"/>
  <c r="FR74" i="1"/>
  <c r="GL74" i="1"/>
  <c r="GN74" i="1"/>
  <c r="GP74" i="1"/>
  <c r="GV74" i="1"/>
  <c r="HC74" i="1" s="1"/>
  <c r="GX74" i="1"/>
  <c r="R75" i="1"/>
  <c r="GK75" i="1" s="1"/>
  <c r="AC75" i="1"/>
  <c r="AD75" i="1"/>
  <c r="AB75" i="1" s="1"/>
  <c r="AE75" i="1"/>
  <c r="AF75" i="1"/>
  <c r="CT75" i="1" s="1"/>
  <c r="S75" i="1" s="1"/>
  <c r="CY75" i="1" s="1"/>
  <c r="X75" i="1" s="1"/>
  <c r="AG75" i="1"/>
  <c r="AH75" i="1"/>
  <c r="CV75" i="1" s="1"/>
  <c r="U75" i="1" s="1"/>
  <c r="AI75" i="1"/>
  <c r="AJ75" i="1"/>
  <c r="CX75" i="1" s="1"/>
  <c r="W75" i="1" s="1"/>
  <c r="CQ75" i="1"/>
  <c r="P75" i="1" s="1"/>
  <c r="CR75" i="1"/>
  <c r="Q75" i="1" s="1"/>
  <c r="CS75" i="1"/>
  <c r="CU75" i="1"/>
  <c r="T75" i="1" s="1"/>
  <c r="CW75" i="1"/>
  <c r="V75" i="1" s="1"/>
  <c r="FR75" i="1"/>
  <c r="GL75" i="1"/>
  <c r="GN75" i="1"/>
  <c r="GP75" i="1"/>
  <c r="GV75" i="1"/>
  <c r="HC75" i="1" s="1"/>
  <c r="GX75" i="1" s="1"/>
  <c r="W76" i="1"/>
  <c r="AC76" i="1"/>
  <c r="AD76" i="1"/>
  <c r="CR76" i="1" s="1"/>
  <c r="Q76" i="1" s="1"/>
  <c r="AE76" i="1"/>
  <c r="CS76" i="1" s="1"/>
  <c r="R76" i="1" s="1"/>
  <c r="AF76" i="1"/>
  <c r="AG76" i="1"/>
  <c r="CU76" i="1" s="1"/>
  <c r="T76" i="1" s="1"/>
  <c r="AH76" i="1"/>
  <c r="CV76" i="1" s="1"/>
  <c r="U76" i="1" s="1"/>
  <c r="AI76" i="1"/>
  <c r="CW76" i="1" s="1"/>
  <c r="V76" i="1" s="1"/>
  <c r="AJ76" i="1"/>
  <c r="CQ76" i="1"/>
  <c r="P76" i="1" s="1"/>
  <c r="CT76" i="1"/>
  <c r="S76" i="1" s="1"/>
  <c r="CY76" i="1" s="1"/>
  <c r="X76" i="1" s="1"/>
  <c r="CX76" i="1"/>
  <c r="FR76" i="1"/>
  <c r="GK76" i="1"/>
  <c r="GL76" i="1"/>
  <c r="GN76" i="1"/>
  <c r="GP76" i="1"/>
  <c r="GV76" i="1"/>
  <c r="HC76" i="1"/>
  <c r="GX76" i="1" s="1"/>
  <c r="C77" i="1"/>
  <c r="D77" i="1"/>
  <c r="I77" i="1"/>
  <c r="T77" i="1"/>
  <c r="AC77" i="1"/>
  <c r="AD77" i="1"/>
  <c r="AE77" i="1"/>
  <c r="CS77" i="1" s="1"/>
  <c r="R77" i="1" s="1"/>
  <c r="GK77" i="1" s="1"/>
  <c r="AF77" i="1"/>
  <c r="AG77" i="1"/>
  <c r="AH77" i="1"/>
  <c r="AI77" i="1"/>
  <c r="CW77" i="1" s="1"/>
  <c r="V77" i="1" s="1"/>
  <c r="AJ77" i="1"/>
  <c r="CQ77" i="1"/>
  <c r="P77" i="1" s="1"/>
  <c r="CR77" i="1"/>
  <c r="Q77" i="1" s="1"/>
  <c r="CT77" i="1"/>
  <c r="S77" i="1" s="1"/>
  <c r="CU77" i="1"/>
  <c r="CV77" i="1"/>
  <c r="U77" i="1" s="1"/>
  <c r="CX77" i="1"/>
  <c r="W77" i="1" s="1"/>
  <c r="FR77" i="1"/>
  <c r="GL77" i="1"/>
  <c r="GN77" i="1"/>
  <c r="GP77" i="1"/>
  <c r="GV77" i="1"/>
  <c r="HC77" i="1"/>
  <c r="GX77" i="1" s="1"/>
  <c r="I78" i="1"/>
  <c r="U78" i="1" s="1"/>
  <c r="AC78" i="1"/>
  <c r="CQ78" i="1" s="1"/>
  <c r="AD78" i="1"/>
  <c r="AE78" i="1"/>
  <c r="CS78" i="1" s="1"/>
  <c r="R78" i="1" s="1"/>
  <c r="AF78" i="1"/>
  <c r="AB78" i="1" s="1"/>
  <c r="AG78" i="1"/>
  <c r="CU78" i="1" s="1"/>
  <c r="AH78" i="1"/>
  <c r="AI78" i="1"/>
  <c r="CW78" i="1" s="1"/>
  <c r="V78" i="1" s="1"/>
  <c r="AJ78" i="1"/>
  <c r="CR78" i="1"/>
  <c r="CT78" i="1"/>
  <c r="S78" i="1" s="1"/>
  <c r="CV78" i="1"/>
  <c r="CX78" i="1"/>
  <c r="FR78" i="1"/>
  <c r="GL78" i="1"/>
  <c r="GN78" i="1"/>
  <c r="GP78" i="1"/>
  <c r="GV78" i="1"/>
  <c r="HC78" i="1" s="1"/>
  <c r="B80" i="1"/>
  <c r="B68" i="1" s="1"/>
  <c r="C80" i="1"/>
  <c r="C68" i="1" s="1"/>
  <c r="D80" i="1"/>
  <c r="D68" i="1" s="1"/>
  <c r="F80" i="1"/>
  <c r="F68" i="1" s="1"/>
  <c r="G80" i="1"/>
  <c r="BC80" i="1"/>
  <c r="BX80" i="1"/>
  <c r="AO80" i="1" s="1"/>
  <c r="CK80" i="1"/>
  <c r="CL80" i="1"/>
  <c r="D109" i="1"/>
  <c r="E111" i="1"/>
  <c r="G111" i="1"/>
  <c r="Z111" i="1"/>
  <c r="AA111" i="1"/>
  <c r="AM111" i="1"/>
  <c r="AN111" i="1"/>
  <c r="BC111" i="1"/>
  <c r="BD111" i="1"/>
  <c r="BE111" i="1"/>
  <c r="BF111" i="1"/>
  <c r="BG111" i="1"/>
  <c r="BH111" i="1"/>
  <c r="BI111" i="1"/>
  <c r="BJ111" i="1"/>
  <c r="BK111" i="1"/>
  <c r="BL111" i="1"/>
  <c r="BM111" i="1"/>
  <c r="BN111" i="1"/>
  <c r="BO111" i="1"/>
  <c r="BP111" i="1"/>
  <c r="BQ111" i="1"/>
  <c r="BR111" i="1"/>
  <c r="BS111" i="1"/>
  <c r="BT111" i="1"/>
  <c r="BU111" i="1"/>
  <c r="BV111" i="1"/>
  <c r="BW111" i="1"/>
  <c r="CL111" i="1"/>
  <c r="CM111" i="1"/>
  <c r="CN111" i="1"/>
  <c r="CO111" i="1"/>
  <c r="CP111" i="1"/>
  <c r="CQ111" i="1"/>
  <c r="CR111" i="1"/>
  <c r="CS111" i="1"/>
  <c r="CT111" i="1"/>
  <c r="CU111" i="1"/>
  <c r="CV111" i="1"/>
  <c r="CW111" i="1"/>
  <c r="CX111" i="1"/>
  <c r="CY111" i="1"/>
  <c r="CZ111" i="1"/>
  <c r="DA111" i="1"/>
  <c r="DB111" i="1"/>
  <c r="DC111" i="1"/>
  <c r="DD111" i="1"/>
  <c r="DE111" i="1"/>
  <c r="DF111" i="1"/>
  <c r="DG111" i="1"/>
  <c r="DH111" i="1"/>
  <c r="DI111" i="1"/>
  <c r="DJ111" i="1"/>
  <c r="DK111" i="1"/>
  <c r="DL111" i="1"/>
  <c r="DM111" i="1"/>
  <c r="DN111" i="1"/>
  <c r="DO111" i="1"/>
  <c r="DP111" i="1"/>
  <c r="DQ111" i="1"/>
  <c r="DR111" i="1"/>
  <c r="DS111" i="1"/>
  <c r="DT111" i="1"/>
  <c r="DU111" i="1"/>
  <c r="DV111" i="1"/>
  <c r="DW111" i="1"/>
  <c r="DX111" i="1"/>
  <c r="DY111" i="1"/>
  <c r="DZ111" i="1"/>
  <c r="EA111" i="1"/>
  <c r="EB111" i="1"/>
  <c r="EC111" i="1"/>
  <c r="ED111" i="1"/>
  <c r="EE111" i="1"/>
  <c r="EF111" i="1"/>
  <c r="EG111" i="1"/>
  <c r="EH111" i="1"/>
  <c r="EI111" i="1"/>
  <c r="EJ111" i="1"/>
  <c r="EK111" i="1"/>
  <c r="EL111" i="1"/>
  <c r="EM111" i="1"/>
  <c r="EN111" i="1"/>
  <c r="EO111" i="1"/>
  <c r="EP111" i="1"/>
  <c r="EQ111" i="1"/>
  <c r="ER111" i="1"/>
  <c r="ES111" i="1"/>
  <c r="ET111" i="1"/>
  <c r="EU111" i="1"/>
  <c r="EV111" i="1"/>
  <c r="EW111" i="1"/>
  <c r="EX111" i="1"/>
  <c r="EY111" i="1"/>
  <c r="EZ111" i="1"/>
  <c r="FA111" i="1"/>
  <c r="FB111" i="1"/>
  <c r="FC111" i="1"/>
  <c r="FD111" i="1"/>
  <c r="FE111" i="1"/>
  <c r="FF111" i="1"/>
  <c r="FG111" i="1"/>
  <c r="FH111" i="1"/>
  <c r="FI111" i="1"/>
  <c r="FJ111" i="1"/>
  <c r="FK111" i="1"/>
  <c r="FL111" i="1"/>
  <c r="FM111" i="1"/>
  <c r="FN111" i="1"/>
  <c r="FO111" i="1"/>
  <c r="FP111" i="1"/>
  <c r="FQ111" i="1"/>
  <c r="FR111" i="1"/>
  <c r="FS111" i="1"/>
  <c r="FT111" i="1"/>
  <c r="FU111" i="1"/>
  <c r="FV111" i="1"/>
  <c r="FW111" i="1"/>
  <c r="FX111" i="1"/>
  <c r="FY111" i="1"/>
  <c r="FZ111" i="1"/>
  <c r="GA111" i="1"/>
  <c r="GB111" i="1"/>
  <c r="GC111" i="1"/>
  <c r="GD111" i="1"/>
  <c r="GE111" i="1"/>
  <c r="GF111" i="1"/>
  <c r="GG111" i="1"/>
  <c r="GH111" i="1"/>
  <c r="GI111" i="1"/>
  <c r="GJ111" i="1"/>
  <c r="GK111" i="1"/>
  <c r="GL111" i="1"/>
  <c r="GM111" i="1"/>
  <c r="GN111" i="1"/>
  <c r="GO111" i="1"/>
  <c r="GP111" i="1"/>
  <c r="GQ111" i="1"/>
  <c r="GR111" i="1"/>
  <c r="GS111" i="1"/>
  <c r="GT111" i="1"/>
  <c r="GU111" i="1"/>
  <c r="GV111" i="1"/>
  <c r="GW111" i="1"/>
  <c r="GX111" i="1"/>
  <c r="S113" i="1"/>
  <c r="CY113" i="1" s="1"/>
  <c r="X113" i="1" s="1"/>
  <c r="AC113" i="1"/>
  <c r="AB113" i="1" s="1"/>
  <c r="AD113" i="1"/>
  <c r="CR113" i="1" s="1"/>
  <c r="Q113" i="1" s="1"/>
  <c r="AE113" i="1"/>
  <c r="AF113" i="1"/>
  <c r="AG113" i="1"/>
  <c r="AH113" i="1"/>
  <c r="CV113" i="1" s="1"/>
  <c r="U113" i="1" s="1"/>
  <c r="AI113" i="1"/>
  <c r="AJ113" i="1"/>
  <c r="CS113" i="1"/>
  <c r="R113" i="1" s="1"/>
  <c r="GK113" i="1" s="1"/>
  <c r="CT113" i="1"/>
  <c r="CU113" i="1"/>
  <c r="T113" i="1" s="1"/>
  <c r="AG116" i="1" s="1"/>
  <c r="CW113" i="1"/>
  <c r="V113" i="1" s="1"/>
  <c r="CX113" i="1"/>
  <c r="W113" i="1" s="1"/>
  <c r="FR113" i="1"/>
  <c r="GL113" i="1"/>
  <c r="BZ116" i="1" s="1"/>
  <c r="GN113" i="1"/>
  <c r="GP113" i="1"/>
  <c r="CD116" i="1" s="1"/>
  <c r="GV113" i="1"/>
  <c r="HC113" i="1"/>
  <c r="GX113" i="1" s="1"/>
  <c r="S114" i="1"/>
  <c r="AC114" i="1"/>
  <c r="CQ114" i="1" s="1"/>
  <c r="P114" i="1" s="1"/>
  <c r="AD114" i="1"/>
  <c r="AE114" i="1"/>
  <c r="AF114" i="1"/>
  <c r="AG114" i="1"/>
  <c r="CU114" i="1" s="1"/>
  <c r="T114" i="1" s="1"/>
  <c r="AH114" i="1"/>
  <c r="AI114" i="1"/>
  <c r="AJ114" i="1"/>
  <c r="CR114" i="1"/>
  <c r="Q114" i="1" s="1"/>
  <c r="AD116" i="1" s="1"/>
  <c r="CS114" i="1"/>
  <c r="R114" i="1" s="1"/>
  <c r="CT114" i="1"/>
  <c r="CV114" i="1"/>
  <c r="U114" i="1" s="1"/>
  <c r="CW114" i="1"/>
  <c r="V114" i="1" s="1"/>
  <c r="AI116" i="1" s="1"/>
  <c r="CX114" i="1"/>
  <c r="W114" i="1" s="1"/>
  <c r="FR114" i="1"/>
  <c r="GL114" i="1"/>
  <c r="GO114" i="1"/>
  <c r="GP114" i="1"/>
  <c r="GV114" i="1"/>
  <c r="GX114" i="1"/>
  <c r="HC114" i="1"/>
  <c r="B116" i="1"/>
  <c r="B111" i="1" s="1"/>
  <c r="C116" i="1"/>
  <c r="C111" i="1" s="1"/>
  <c r="D116" i="1"/>
  <c r="D111" i="1" s="1"/>
  <c r="F116" i="1"/>
  <c r="F111" i="1" s="1"/>
  <c r="G116" i="1"/>
  <c r="AH116" i="1"/>
  <c r="AH111" i="1" s="1"/>
  <c r="BC116" i="1"/>
  <c r="BX116" i="1"/>
  <c r="BX111" i="1" s="1"/>
  <c r="BY116" i="1"/>
  <c r="CG116" i="1"/>
  <c r="CJ116" i="1"/>
  <c r="CJ111" i="1" s="1"/>
  <c r="CK116" i="1"/>
  <c r="CL116" i="1"/>
  <c r="F132" i="1"/>
  <c r="B145" i="1"/>
  <c r="B22" i="1" s="1"/>
  <c r="C145" i="1"/>
  <c r="C22" i="1" s="1"/>
  <c r="D145" i="1"/>
  <c r="F145" i="1"/>
  <c r="F22" i="1" s="1"/>
  <c r="G145" i="1"/>
  <c r="G22" i="1" s="1"/>
  <c r="B174" i="1"/>
  <c r="B18" i="1" s="1"/>
  <c r="C174" i="1"/>
  <c r="C18" i="1" s="1"/>
  <c r="D174" i="1"/>
  <c r="D18" i="1" s="1"/>
  <c r="F174" i="1"/>
  <c r="F18" i="1" s="1"/>
  <c r="G174" i="1"/>
  <c r="G18" i="1" s="1"/>
  <c r="GK78" i="1" l="1"/>
  <c r="AE80" i="1"/>
  <c r="GO72" i="1"/>
  <c r="CZ77" i="1"/>
  <c r="Y77" i="1" s="1"/>
  <c r="CY77" i="1"/>
  <c r="X77" i="1" s="1"/>
  <c r="GO74" i="1"/>
  <c r="GM74" i="1"/>
  <c r="CY72" i="1"/>
  <c r="X72" i="1" s="1"/>
  <c r="GM72" i="1" s="1"/>
  <c r="CZ72" i="1"/>
  <c r="Y72" i="1" s="1"/>
  <c r="AI80" i="1"/>
  <c r="AH26" i="1"/>
  <c r="U37" i="1"/>
  <c r="AH80" i="1"/>
  <c r="GM70" i="1"/>
  <c r="AG111" i="1"/>
  <c r="T116" i="1"/>
  <c r="CB68" i="1"/>
  <c r="AS80" i="1"/>
  <c r="CY35" i="1"/>
  <c r="X35" i="1" s="1"/>
  <c r="CZ35" i="1"/>
  <c r="Y35" i="1" s="1"/>
  <c r="GK114" i="1"/>
  <c r="AE116" i="1"/>
  <c r="CY78" i="1"/>
  <c r="X78" i="1" s="1"/>
  <c r="CZ78" i="1"/>
  <c r="Y78" i="1" s="1"/>
  <c r="CP76" i="1"/>
  <c r="O76" i="1" s="1"/>
  <c r="V116" i="1"/>
  <c r="AI111" i="1"/>
  <c r="AD111" i="1"/>
  <c r="Q116" i="1"/>
  <c r="AJ116" i="1"/>
  <c r="BA116" i="1"/>
  <c r="BY111" i="1"/>
  <c r="AP116" i="1"/>
  <c r="CI116" i="1"/>
  <c r="CZ113" i="1"/>
  <c r="Y113" i="1" s="1"/>
  <c r="AF116" i="1"/>
  <c r="BC68" i="1"/>
  <c r="BC145" i="1"/>
  <c r="CZ76" i="1"/>
  <c r="Y76" i="1" s="1"/>
  <c r="CD80" i="1"/>
  <c r="CJ80" i="1"/>
  <c r="CJ26" i="1"/>
  <c r="BA37" i="1"/>
  <c r="AP37" i="1"/>
  <c r="BY26" i="1"/>
  <c r="CZ34" i="1"/>
  <c r="Y34" i="1" s="1"/>
  <c r="CY34" i="1"/>
  <c r="X34" i="1" s="1"/>
  <c r="CP33" i="1"/>
  <c r="O33" i="1" s="1"/>
  <c r="CX7" i="3"/>
  <c r="CX6" i="3"/>
  <c r="CY29" i="1"/>
  <c r="X29" i="1" s="1"/>
  <c r="CZ29" i="1"/>
  <c r="Y29" i="1" s="1"/>
  <c r="AB29" i="1"/>
  <c r="GK28" i="1"/>
  <c r="AE37" i="1"/>
  <c r="CX5" i="3"/>
  <c r="CG111" i="1"/>
  <c r="AX116" i="1"/>
  <c r="CP75" i="1"/>
  <c r="O75" i="1" s="1"/>
  <c r="AB72" i="1"/>
  <c r="AB71" i="1"/>
  <c r="CQ71" i="1"/>
  <c r="P71" i="1" s="1"/>
  <c r="CP71" i="1" s="1"/>
  <c r="O71" i="1" s="1"/>
  <c r="CY70" i="1"/>
  <c r="X70" i="1" s="1"/>
  <c r="AK80" i="1" s="1"/>
  <c r="AF80" i="1"/>
  <c r="AB70" i="1"/>
  <c r="CI37" i="1"/>
  <c r="BX26" i="1"/>
  <c r="CG37" i="1"/>
  <c r="CP34" i="1"/>
  <c r="O34" i="1" s="1"/>
  <c r="T32" i="1"/>
  <c r="AG37" i="1" s="1"/>
  <c r="W32" i="1"/>
  <c r="S32" i="1"/>
  <c r="AB32" i="1"/>
  <c r="AD37" i="1"/>
  <c r="AO116" i="1"/>
  <c r="U116" i="1"/>
  <c r="CP114" i="1"/>
  <c r="O114" i="1" s="1"/>
  <c r="CY114" i="1"/>
  <c r="X114" i="1" s="1"/>
  <c r="AK116" i="1" s="1"/>
  <c r="CZ114" i="1"/>
  <c r="Y114" i="1" s="1"/>
  <c r="BZ111" i="1"/>
  <c r="AQ116" i="1"/>
  <c r="W78" i="1"/>
  <c r="AJ80" i="1" s="1"/>
  <c r="Q78" i="1"/>
  <c r="AD80" i="1" s="1"/>
  <c r="AB76" i="1"/>
  <c r="AB73" i="1"/>
  <c r="CQ73" i="1"/>
  <c r="P73" i="1" s="1"/>
  <c r="CP73" i="1" s="1"/>
  <c r="O73" i="1" s="1"/>
  <c r="BY80" i="1"/>
  <c r="CP35" i="1"/>
  <c r="O35" i="1" s="1"/>
  <c r="V32" i="1"/>
  <c r="AI37" i="1" s="1"/>
  <c r="CY31" i="1"/>
  <c r="X31" i="1" s="1"/>
  <c r="CZ31" i="1"/>
  <c r="Y31" i="1" s="1"/>
  <c r="AB31" i="1"/>
  <c r="GM28" i="1"/>
  <c r="CK111" i="1"/>
  <c r="BB116" i="1"/>
  <c r="AB114" i="1"/>
  <c r="CD111" i="1"/>
  <c r="AU116" i="1"/>
  <c r="CQ113" i="1"/>
  <c r="P113" i="1" s="1"/>
  <c r="F96" i="1"/>
  <c r="AO68" i="1"/>
  <c r="F84" i="1"/>
  <c r="GX78" i="1"/>
  <c r="CP77" i="1"/>
  <c r="O77" i="1" s="1"/>
  <c r="AB74" i="1"/>
  <c r="BZ80" i="1"/>
  <c r="CZ70" i="1"/>
  <c r="Y70" i="1" s="1"/>
  <c r="AT37" i="1"/>
  <c r="CC26" i="1"/>
  <c r="AO37" i="1"/>
  <c r="CP29" i="1"/>
  <c r="O29" i="1" s="1"/>
  <c r="CZ75" i="1"/>
  <c r="Y75" i="1" s="1"/>
  <c r="CK68" i="1"/>
  <c r="BB80" i="1"/>
  <c r="Q32" i="1"/>
  <c r="AJ37" i="1"/>
  <c r="CY28" i="1"/>
  <c r="X28" i="1" s="1"/>
  <c r="AB28" i="1"/>
  <c r="T78" i="1"/>
  <c r="AG80" i="1" s="1"/>
  <c r="P78" i="1"/>
  <c r="CP78" i="1" s="1"/>
  <c r="O78" i="1" s="1"/>
  <c r="AB77" i="1"/>
  <c r="BB26" i="1"/>
  <c r="F50" i="1"/>
  <c r="AQ37" i="1"/>
  <c r="W33" i="1"/>
  <c r="S33" i="1"/>
  <c r="AB33" i="1"/>
  <c r="P32" i="1"/>
  <c r="AC37" i="1" s="1"/>
  <c r="CP31" i="1"/>
  <c r="O31" i="1" s="1"/>
  <c r="CP30" i="1"/>
  <c r="O30" i="1" s="1"/>
  <c r="AB34" i="1"/>
  <c r="AB30" i="1"/>
  <c r="AG68" i="1" l="1"/>
  <c r="T80" i="1"/>
  <c r="AK111" i="1"/>
  <c r="X116" i="1"/>
  <c r="AG26" i="1"/>
  <c r="T37" i="1"/>
  <c r="AC26" i="1"/>
  <c r="CH37" i="1"/>
  <c r="CF37" i="1"/>
  <c r="P37" i="1"/>
  <c r="CE37" i="1"/>
  <c r="Q80" i="1"/>
  <c r="AD68" i="1"/>
  <c r="W80" i="1"/>
  <c r="AJ68" i="1"/>
  <c r="AI26" i="1"/>
  <c r="V37" i="1"/>
  <c r="AJ26" i="1"/>
  <c r="W37" i="1"/>
  <c r="AF68" i="1"/>
  <c r="S80" i="1"/>
  <c r="AP26" i="1"/>
  <c r="F46" i="1"/>
  <c r="BC22" i="1"/>
  <c r="F161" i="1"/>
  <c r="BC174" i="1"/>
  <c r="CI111" i="1"/>
  <c r="AZ116" i="1"/>
  <c r="V80" i="1"/>
  <c r="AI68" i="1"/>
  <c r="CY33" i="1"/>
  <c r="X33" i="1" s="1"/>
  <c r="GN33" i="1" s="1"/>
  <c r="CZ33" i="1"/>
  <c r="Y33" i="1" s="1"/>
  <c r="GM29" i="1"/>
  <c r="GN29" i="1"/>
  <c r="AQ111" i="1"/>
  <c r="F126" i="1"/>
  <c r="AK68" i="1"/>
  <c r="X80" i="1"/>
  <c r="GO75" i="1"/>
  <c r="GM75" i="1"/>
  <c r="F57" i="1"/>
  <c r="BA26" i="1"/>
  <c r="BA145" i="1"/>
  <c r="AP111" i="1"/>
  <c r="F125" i="1"/>
  <c r="GO76" i="1"/>
  <c r="GM76" i="1"/>
  <c r="R80" i="1"/>
  <c r="AE68" i="1"/>
  <c r="GN31" i="1"/>
  <c r="GM31" i="1"/>
  <c r="AF37" i="1"/>
  <c r="F93" i="1"/>
  <c r="BB68" i="1"/>
  <c r="BB145" i="1"/>
  <c r="AL80" i="1"/>
  <c r="AC116" i="1"/>
  <c r="CP113" i="1"/>
  <c r="O113" i="1" s="1"/>
  <c r="F129" i="1"/>
  <c r="BB111" i="1"/>
  <c r="GP35" i="1"/>
  <c r="GM35" i="1"/>
  <c r="U111" i="1"/>
  <c r="F138" i="1"/>
  <c r="GM34" i="1"/>
  <c r="GP34" i="1"/>
  <c r="CD37" i="1" s="1"/>
  <c r="GO71" i="1"/>
  <c r="GM71" i="1"/>
  <c r="F123" i="1"/>
  <c r="AX111" i="1"/>
  <c r="AU80" i="1"/>
  <c r="CD68" i="1"/>
  <c r="AF111" i="1"/>
  <c r="S116" i="1"/>
  <c r="T111" i="1"/>
  <c r="F137" i="1"/>
  <c r="AB80" i="1"/>
  <c r="GO73" i="1"/>
  <c r="GM73" i="1"/>
  <c r="CA80" i="1" s="1"/>
  <c r="AD26" i="1"/>
  <c r="Q37" i="1"/>
  <c r="AC80" i="1"/>
  <c r="AJ111" i="1"/>
  <c r="W116" i="1"/>
  <c r="V111" i="1"/>
  <c r="F139" i="1"/>
  <c r="AE111" i="1"/>
  <c r="R116" i="1"/>
  <c r="AS68" i="1"/>
  <c r="F97" i="1"/>
  <c r="GN30" i="1"/>
  <c r="GM30" i="1"/>
  <c r="AT26" i="1"/>
  <c r="F55" i="1"/>
  <c r="GM77" i="1"/>
  <c r="GO77" i="1"/>
  <c r="GM114" i="1"/>
  <c r="GN114" i="1"/>
  <c r="CB116" i="1" s="1"/>
  <c r="CI26" i="1"/>
  <c r="AZ37" i="1"/>
  <c r="AE26" i="1"/>
  <c r="R37" i="1"/>
  <c r="BA80" i="1"/>
  <c r="CJ68" i="1"/>
  <c r="Q111" i="1"/>
  <c r="F128" i="1"/>
  <c r="GO70" i="1"/>
  <c r="U26" i="1"/>
  <c r="F59" i="1"/>
  <c r="CP32" i="1"/>
  <c r="O32" i="1" s="1"/>
  <c r="AQ26" i="1"/>
  <c r="F47" i="1"/>
  <c r="GO78" i="1"/>
  <c r="GM78" i="1"/>
  <c r="AK37" i="1"/>
  <c r="GN28" i="1"/>
  <c r="F41" i="1"/>
  <c r="AO145" i="1"/>
  <c r="AO26" i="1"/>
  <c r="AQ80" i="1"/>
  <c r="BZ68" i="1"/>
  <c r="CG80" i="1"/>
  <c r="AU111" i="1"/>
  <c r="F135" i="1"/>
  <c r="BY68" i="1"/>
  <c r="AP80" i="1"/>
  <c r="CI80" i="1"/>
  <c r="AO111" i="1"/>
  <c r="F120" i="1"/>
  <c r="CY32" i="1"/>
  <c r="X32" i="1" s="1"/>
  <c r="CZ32" i="1"/>
  <c r="Y32" i="1" s="1"/>
  <c r="AL37" i="1" s="1"/>
  <c r="AX37" i="1"/>
  <c r="CG26" i="1"/>
  <c r="AL116" i="1"/>
  <c r="BA111" i="1"/>
  <c r="F136" i="1"/>
  <c r="U80" i="1"/>
  <c r="AH68" i="1"/>
  <c r="CA68" i="1" l="1"/>
  <c r="AR80" i="1"/>
  <c r="AL26" i="1"/>
  <c r="Y37" i="1"/>
  <c r="AK26" i="1"/>
  <c r="X37" i="1"/>
  <c r="AC68" i="1"/>
  <c r="CH80" i="1"/>
  <c r="P80" i="1"/>
  <c r="CE80" i="1"/>
  <c r="CF80" i="1"/>
  <c r="CH26" i="1"/>
  <c r="AY37" i="1"/>
  <c r="AL111" i="1"/>
  <c r="Y116" i="1"/>
  <c r="F89" i="1"/>
  <c r="AP68" i="1"/>
  <c r="AO22" i="1"/>
  <c r="F149" i="1"/>
  <c r="AO174" i="1"/>
  <c r="F131" i="1"/>
  <c r="S111" i="1"/>
  <c r="AZ111" i="1"/>
  <c r="F127" i="1"/>
  <c r="W26" i="1"/>
  <c r="W145" i="1"/>
  <c r="F61" i="1"/>
  <c r="CE26" i="1"/>
  <c r="AV37" i="1"/>
  <c r="GM32" i="1"/>
  <c r="CA37" i="1" s="1"/>
  <c r="GN32" i="1"/>
  <c r="AB37" i="1"/>
  <c r="CC80" i="1"/>
  <c r="BA68" i="1"/>
  <c r="F100" i="1"/>
  <c r="F130" i="1"/>
  <c r="R111" i="1"/>
  <c r="F140" i="1"/>
  <c r="W111" i="1"/>
  <c r="Q26" i="1"/>
  <c r="Q145" i="1"/>
  <c r="F49" i="1"/>
  <c r="AB68" i="1"/>
  <c r="O80" i="1"/>
  <c r="AC111" i="1"/>
  <c r="CH116" i="1"/>
  <c r="CE116" i="1"/>
  <c r="CF116" i="1"/>
  <c r="P116" i="1"/>
  <c r="AP145" i="1"/>
  <c r="GM33" i="1"/>
  <c r="F104" i="1"/>
  <c r="W68" i="1"/>
  <c r="P145" i="1"/>
  <c r="P26" i="1"/>
  <c r="F40" i="1"/>
  <c r="F58" i="1"/>
  <c r="T26" i="1"/>
  <c r="T145" i="1"/>
  <c r="F101" i="1"/>
  <c r="T68" i="1"/>
  <c r="AZ80" i="1"/>
  <c r="CI68" i="1"/>
  <c r="F99" i="1"/>
  <c r="AU68" i="1"/>
  <c r="BB22" i="1"/>
  <c r="F158" i="1"/>
  <c r="BB174" i="1"/>
  <c r="BA22" i="1"/>
  <c r="F165" i="1"/>
  <c r="BA174" i="1"/>
  <c r="Q68" i="1"/>
  <c r="F92" i="1"/>
  <c r="F141" i="1"/>
  <c r="X111" i="1"/>
  <c r="CG68" i="1"/>
  <c r="AX80" i="1"/>
  <c r="AZ26" i="1"/>
  <c r="F48" i="1"/>
  <c r="CD26" i="1"/>
  <c r="AU37" i="1"/>
  <c r="GM113" i="1"/>
  <c r="CA116" i="1" s="1"/>
  <c r="AB116" i="1"/>
  <c r="GO113" i="1"/>
  <c r="CC116" i="1" s="1"/>
  <c r="F105" i="1"/>
  <c r="X68" i="1"/>
  <c r="U68" i="1"/>
  <c r="F102" i="1"/>
  <c r="AX26" i="1"/>
  <c r="AX145" i="1"/>
  <c r="F44" i="1"/>
  <c r="AQ68" i="1"/>
  <c r="F90" i="1"/>
  <c r="CB37" i="1"/>
  <c r="AQ145" i="1"/>
  <c r="U145" i="1"/>
  <c r="R26" i="1"/>
  <c r="R145" i="1"/>
  <c r="F51" i="1"/>
  <c r="CB111" i="1"/>
  <c r="AS116" i="1"/>
  <c r="AL68" i="1"/>
  <c r="Y80" i="1"/>
  <c r="S37" i="1"/>
  <c r="AF26" i="1"/>
  <c r="F94" i="1"/>
  <c r="R68" i="1"/>
  <c r="V68" i="1"/>
  <c r="F103" i="1"/>
  <c r="BC18" i="1"/>
  <c r="F190" i="1"/>
  <c r="F95" i="1"/>
  <c r="S68" i="1"/>
  <c r="V26" i="1"/>
  <c r="F60" i="1"/>
  <c r="V145" i="1"/>
  <c r="AW37" i="1"/>
  <c r="CF26" i="1"/>
  <c r="CA26" i="1" l="1"/>
  <c r="AR37" i="1"/>
  <c r="CB26" i="1"/>
  <c r="AS37" i="1"/>
  <c r="AX22" i="1"/>
  <c r="AX174" i="1"/>
  <c r="F152" i="1"/>
  <c r="BA18" i="1"/>
  <c r="F194" i="1"/>
  <c r="F166" i="1"/>
  <c r="T22" i="1"/>
  <c r="T174" i="1"/>
  <c r="CE111" i="1"/>
  <c r="AV116" i="1"/>
  <c r="CF68" i="1"/>
  <c r="AW80" i="1"/>
  <c r="F43" i="1"/>
  <c r="AW26" i="1"/>
  <c r="AS111" i="1"/>
  <c r="F133" i="1"/>
  <c r="AU26" i="1"/>
  <c r="AU145" i="1"/>
  <c r="F56" i="1"/>
  <c r="AZ68" i="1"/>
  <c r="F91" i="1"/>
  <c r="P22" i="1"/>
  <c r="F148" i="1"/>
  <c r="P174" i="1"/>
  <c r="AP22" i="1"/>
  <c r="F154" i="1"/>
  <c r="G16" i="2" s="1"/>
  <c r="G18" i="2" s="1"/>
  <c r="AP174" i="1"/>
  <c r="CH111" i="1"/>
  <c r="AY116" i="1"/>
  <c r="W22" i="1"/>
  <c r="F169" i="1"/>
  <c r="W174" i="1"/>
  <c r="AV80" i="1"/>
  <c r="CE68" i="1"/>
  <c r="F62" i="1"/>
  <c r="X145" i="1"/>
  <c r="X26" i="1"/>
  <c r="V22" i="1"/>
  <c r="V174" i="1"/>
  <c r="F168" i="1"/>
  <c r="S26" i="1"/>
  <c r="F52" i="1"/>
  <c r="S145" i="1"/>
  <c r="U22" i="1"/>
  <c r="F167" i="1"/>
  <c r="U174" i="1"/>
  <c r="CC111" i="1"/>
  <c r="AT116" i="1"/>
  <c r="AX68" i="1"/>
  <c r="F87" i="1"/>
  <c r="P111" i="1"/>
  <c r="F119" i="1"/>
  <c r="Q22" i="1"/>
  <c r="F157" i="1"/>
  <c r="Q174" i="1"/>
  <c r="CC68" i="1"/>
  <c r="AT80" i="1"/>
  <c r="F42" i="1"/>
  <c r="AV26" i="1"/>
  <c r="AV145" i="1"/>
  <c r="AY26" i="1"/>
  <c r="AY145" i="1"/>
  <c r="F45" i="1"/>
  <c r="P68" i="1"/>
  <c r="F83" i="1"/>
  <c r="AR68" i="1"/>
  <c r="F107" i="1"/>
  <c r="R22" i="1"/>
  <c r="R174" i="1"/>
  <c r="F159" i="1"/>
  <c r="CA111" i="1"/>
  <c r="AR116" i="1"/>
  <c r="Y111" i="1"/>
  <c r="F142" i="1"/>
  <c r="Y26" i="1"/>
  <c r="F63" i="1"/>
  <c r="Y145" i="1"/>
  <c r="Y68" i="1"/>
  <c r="F106" i="1"/>
  <c r="F155" i="1"/>
  <c r="AQ22" i="1"/>
  <c r="AQ174" i="1"/>
  <c r="O116" i="1"/>
  <c r="AB111" i="1"/>
  <c r="AZ145" i="1"/>
  <c r="BB18" i="1"/>
  <c r="F187" i="1"/>
  <c r="CF111" i="1"/>
  <c r="AW116" i="1"/>
  <c r="O68" i="1"/>
  <c r="F82" i="1"/>
  <c r="AB26" i="1"/>
  <c r="O37" i="1"/>
  <c r="AO18" i="1"/>
  <c r="F178" i="1"/>
  <c r="CH68" i="1"/>
  <c r="AY80" i="1"/>
  <c r="S174" i="1" l="1"/>
  <c r="S22" i="1"/>
  <c r="F160" i="1"/>
  <c r="J16" i="2" s="1"/>
  <c r="J18" i="2" s="1"/>
  <c r="F197" i="1"/>
  <c r="V18" i="1"/>
  <c r="AW68" i="1"/>
  <c r="F86" i="1"/>
  <c r="F54" i="1"/>
  <c r="AS26" i="1"/>
  <c r="AS145" i="1"/>
  <c r="AQ18" i="1"/>
  <c r="F184" i="1"/>
  <c r="U18" i="1"/>
  <c r="F196" i="1"/>
  <c r="AW145" i="1"/>
  <c r="F88" i="1"/>
  <c r="AY68" i="1"/>
  <c r="AW111" i="1"/>
  <c r="F122" i="1"/>
  <c r="Y22" i="1"/>
  <c r="F171" i="1"/>
  <c r="Y174" i="1"/>
  <c r="R18" i="1"/>
  <c r="F188" i="1"/>
  <c r="F98" i="1"/>
  <c r="AT68" i="1"/>
  <c r="AT145" i="1"/>
  <c r="F85" i="1"/>
  <c r="AV68" i="1"/>
  <c r="F124" i="1"/>
  <c r="AY111" i="1"/>
  <c r="F121" i="1"/>
  <c r="AV111" i="1"/>
  <c r="F181" i="1"/>
  <c r="AX18" i="1"/>
  <c r="AR26" i="1"/>
  <c r="F64" i="1"/>
  <c r="AR145" i="1"/>
  <c r="O111" i="1"/>
  <c r="F118" i="1"/>
  <c r="Q18" i="1"/>
  <c r="F186" i="1"/>
  <c r="AP18" i="1"/>
  <c r="F183" i="1"/>
  <c r="T18" i="1"/>
  <c r="F195" i="1"/>
  <c r="F153" i="1"/>
  <c r="AY22" i="1"/>
  <c r="AY174" i="1"/>
  <c r="AU22" i="1"/>
  <c r="F164" i="1"/>
  <c r="H16" i="2" s="1"/>
  <c r="H18" i="2" s="1"/>
  <c r="AU174" i="1"/>
  <c r="O26" i="1"/>
  <c r="O145" i="1"/>
  <c r="F39" i="1"/>
  <c r="F156" i="1"/>
  <c r="AZ22" i="1"/>
  <c r="AZ174" i="1"/>
  <c r="AR111" i="1"/>
  <c r="F143" i="1"/>
  <c r="AV22" i="1"/>
  <c r="F150" i="1"/>
  <c r="AV174" i="1"/>
  <c r="F134" i="1"/>
  <c r="AT111" i="1"/>
  <c r="F170" i="1"/>
  <c r="X22" i="1"/>
  <c r="X174" i="1"/>
  <c r="W18" i="1"/>
  <c r="F198" i="1"/>
  <c r="P18" i="1"/>
  <c r="F177" i="1"/>
  <c r="X18" i="1" l="1"/>
  <c r="F199" i="1"/>
  <c r="AV18" i="1"/>
  <c r="F179" i="1"/>
  <c r="AT22" i="1"/>
  <c r="AT174" i="1"/>
  <c r="F163" i="1"/>
  <c r="F16" i="2" s="1"/>
  <c r="F18" i="2" s="1"/>
  <c r="AW22" i="1"/>
  <c r="AW174" i="1"/>
  <c r="F151" i="1"/>
  <c r="O22" i="1"/>
  <c r="O174" i="1"/>
  <c r="F147" i="1"/>
  <c r="AR22" i="1"/>
  <c r="F172" i="1"/>
  <c r="AR174" i="1"/>
  <c r="Y18" i="1"/>
  <c r="F200" i="1"/>
  <c r="AS22" i="1"/>
  <c r="AS174" i="1"/>
  <c r="F162" i="1"/>
  <c r="E16" i="2" s="1"/>
  <c r="F193" i="1"/>
  <c r="AU18" i="1"/>
  <c r="AZ18" i="1"/>
  <c r="F185" i="1"/>
  <c r="AY18" i="1"/>
  <c r="F182" i="1"/>
  <c r="S18" i="1"/>
  <c r="F189" i="1"/>
  <c r="AS18" i="1" l="1"/>
  <c r="F191" i="1"/>
  <c r="O18" i="1"/>
  <c r="F176" i="1"/>
  <c r="AT18" i="1"/>
  <c r="F192" i="1"/>
  <c r="AR18" i="1"/>
  <c r="F201" i="1"/>
  <c r="E18" i="2"/>
  <c r="I16" i="2"/>
  <c r="I18" i="2" s="1"/>
  <c r="AW18" i="1"/>
  <c r="F180" i="1"/>
  <c r="F202" i="1" l="1"/>
  <c r="F203" i="1"/>
</calcChain>
</file>

<file path=xl/sharedStrings.xml><?xml version="1.0" encoding="utf-8"?>
<sst xmlns="http://schemas.openxmlformats.org/spreadsheetml/2006/main" count="1599" uniqueCount="252">
  <si>
    <t>Smeta.RU  (495) 974-1589</t>
  </si>
  <si>
    <t>_PS_</t>
  </si>
  <si>
    <t>Smeta.RU</t>
  </si>
  <si>
    <t/>
  </si>
  <si>
    <t>Новый объект_(Копия)</t>
  </si>
  <si>
    <t>Строительство КЛ 0,4 кВ Москва  417 м</t>
  </si>
  <si>
    <t>Сметные нормы списания</t>
  </si>
  <si>
    <t>Коды ОКП для ТСН-2001</t>
  </si>
  <si>
    <t>ТСН 2001- Новое строительство</t>
  </si>
  <si>
    <t>Типовой расчет для ТСН-2001 МЦЦС (Строительство), Доп 47</t>
  </si>
  <si>
    <t>ТСН-2001</t>
  </si>
  <si>
    <t>Поправки для ТСН-2001 от 01.02.2017 г.</t>
  </si>
  <si>
    <t>Новая локальная смета</t>
  </si>
  <si>
    <t>Новый раздел</t>
  </si>
  <si>
    <t>Общестроительные работы</t>
  </si>
  <si>
    <t>1</t>
  </si>
  <si>
    <t>3.1-49-1</t>
  </si>
  <si>
    <t>РАЗРАБОТКА ГРУНТА ВРУЧНУЮ С КРЕПЛЕНИЯМИ В ТРАНШЕЯХ ШИРИНОЙ ДО 2 М ГЛУБИНОЙ, ДО 2 М ГРУППА ГРУНТОВ 1-3</t>
  </si>
  <si>
    <t>100 м3</t>
  </si>
  <si>
    <t>ТСН-2001.3. База. Сб.1, т.49, поз.1</t>
  </si>
  <si>
    <t>Поправка: о.п.2.3  Наименование:  Строительство новых объектов в стесненных условиях: на территории действующих предприятий, имеющих разветвленную сеть транспортных и инженерных коммуникаций и стесненные условия для складирования материалов</t>
  </si>
  <si>
    <t>)*1,15</t>
  </si>
  <si>
    <t>Строительные работы</t>
  </si>
  <si>
    <t>ТСН-2001.3-1. 1-49...1-55</t>
  </si>
  <si>
    <t>ТСН-2001.3-1-15</t>
  </si>
  <si>
    <t>Поправка: о.п.2.3</t>
  </si>
  <si>
    <t>2</t>
  </si>
  <si>
    <t>3.1-53-1</t>
  </si>
  <si>
    <t>ЗАСЫПКА ВРУЧНУЮ ТРАНШЕЙ, ПАЗУХ КОТЛОВАНОВ И ЯМ ГРУППА ГРУНТОВ 1-3</t>
  </si>
  <si>
    <t>ТСН-2001.3. База. Сб.1, т.53, поз.1</t>
  </si>
  <si>
    <t>4</t>
  </si>
  <si>
    <t>1.1-1-766</t>
  </si>
  <si>
    <t>ПЕСОК ДЛЯ СТРОИТЕЛЬНЫХ РАБОТ, РЯДОВОЙ</t>
  </si>
  <si>
    <t>м3</t>
  </si>
  <si>
    <t>ТСН-2001.1. База. Р.1, о.1, поз.766</t>
  </si>
  <si>
    <t>Материалы строительные</t>
  </si>
  <si>
    <t>ТСН-2001.1 Материалы строительные</t>
  </si>
  <si>
    <t>ТСН-2001.1-1</t>
  </si>
  <si>
    <t>5</t>
  </si>
  <si>
    <t>6.66-86-1</t>
  </si>
  <si>
    <t>ПОГРУЗКА ВРУЧНУЮ СТРОИТЕЛЬНОГО МУСОРА В САМОСВАЛ</t>
  </si>
  <si>
    <t>т</t>
  </si>
  <si>
    <t>ТСН-2001.6. База. Сб.66, т.86, поз.1</t>
  </si>
  <si>
    <t>Поправка: о.п.прил.2 п.6  Наименование:  Ремонтно-строительных работы инженерных сетей и сооружений в стесненных условиях застроенной части городов</t>
  </si>
  <si>
    <t>Ремонтно-строительные работы</t>
  </si>
  <si>
    <t>ТСН-2001.6-66. 66-86, 66-87</t>
  </si>
  <si>
    <t>ТСН-2001.6-66-15</t>
  </si>
  <si>
    <t>Поправка: о.п.прил.2 п.6</t>
  </si>
  <si>
    <t>7</t>
  </si>
  <si>
    <t>3.1-29-1</t>
  </si>
  <si>
    <t>УПЛОТНЕНИЕ ГРУНТА ПНЕВМАТИЧЕСКИМИ ТРАМБОВКАМИ ГРУППА ГРУНТОВ 1,2</t>
  </si>
  <si>
    <t>ТСН-2001.3. База. Сб.1, т.29, поз.1</t>
  </si>
  <si>
    <t>ТСН-2001.3-1. 1-29...1-33</t>
  </si>
  <si>
    <t>ТСН-2001.3-1-9</t>
  </si>
  <si>
    <t>8</t>
  </si>
  <si>
    <t>6.51-6-1</t>
  </si>
  <si>
    <t>ПОГРУЗКА ГРУНТА ВРУЧНУЮ В АВТОМОБИЛИ-САМОСВАЛЫ С ВЫГРУЗКОЙ</t>
  </si>
  <si>
    <t>ТСН-2001.6. База. Сб.51, т.6, поз.1</t>
  </si>
  <si>
    <t>ТСН-2001.6-51. 51-6</t>
  </si>
  <si>
    <t>ТСН-2001.6-51-4</t>
  </si>
  <si>
    <t>9</t>
  </si>
  <si>
    <t>15.1-9-6</t>
  </si>
  <si>
    <t>ПЕРЕВОЗКА СТРОИТЕЛЬНОГО МУСОРА НА РАССТОЯНИЕ 9 КМ АВТОСАМОСВАЛАМИ ГРУЗОПОДЪЕМНОСТЬЮ БОЛЕЕ 16 Т, ПЕРЕВОЗКА ДО 9 КМ</t>
  </si>
  <si>
    <t>ТСН-2001.15. База. Сб.1, т.9, поз.6</t>
  </si>
  <si>
    <t>Транспортные затраты</t>
  </si>
  <si>
    <t>ТСН-2001.15-1. Перевозка строительного мусора</t>
  </si>
  <si>
    <t>ТСН-2001.15-1-5</t>
  </si>
  <si>
    <t>10</t>
  </si>
  <si>
    <t>15.1-9-2</t>
  </si>
  <si>
    <t>ПЕРЕВОЗКА ГРУНТА ИЗ-ПОД ЗДАНИЙ И КОММУНИКАЦИЙ НА РАССТОЯНИЕ 9 КМ АВТОСАМОСВАЛАМИ ГРУЗОПОДЪЕМНОСТЬЮ БОЛЕЕ 16Т, ПЕРЕВОЗКА ДО 9 КМ</t>
  </si>
  <si>
    <t>ТСН-2001.15. База. Сб.1, т.9, поз.2</t>
  </si>
  <si>
    <t>ТСН-2001.15-1. Перевозка грунта</t>
  </si>
  <si>
    <t>ТСН-2001.15-1-3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</si>
  <si>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</si>
  <si>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</si>
  <si>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</si>
  <si>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</si>
  <si>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</si>
  <si>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</si>
  <si>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</si>
  <si>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</si>
  <si>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</si>
  <si>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</si>
  <si>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</si>
  <si>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</si>
  <si>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</si>
  <si>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</si>
  <si>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</si>
  <si>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</si>
  <si>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</si>
  <si>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</si>
  <si>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</si>
  <si>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</si>
  <si>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</si>
  <si>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</si>
  <si>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</si>
  <si>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</si>
  <si>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</si>
  <si>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</si>
  <si>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</si>
  <si>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</si>
  <si>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</si>
  <si>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</si>
  <si>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</si>
  <si>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</si>
  <si>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</si>
  <si>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</si>
  <si>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</si>
  <si>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</si>
  <si>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</si>
  <si>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</si>
  <si>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</si>
  <si>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</si>
  <si>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</si>
  <si>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</si>
  <si>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</si>
  <si>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</si>
  <si>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</si>
  <si>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</si>
  <si>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</si>
  <si>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</si>
  <si>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</si>
  <si>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</si>
  <si>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</si>
  <si>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</si>
  <si>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Монтажные работы</t>
  </si>
  <si>
    <t>4.8-74-1</t>
  </si>
  <si>
    <t>УСТРОЙСТВО ПОСТЕЛИ: ПРИ ОДНОМ КАБЕЛЕ В ТРАНШЕЕ</t>
  </si>
  <si>
    <t>100 м</t>
  </si>
  <si>
    <t>ТСН-2001.4. База. Сб.8, т.74, поз.1</t>
  </si>
  <si>
    <t>Монтаж оборудования</t>
  </si>
  <si>
    <t>ТСН-2001.4-8. 8-73...8-80</t>
  </si>
  <si>
    <t>ТСН-2001.4-8-3</t>
  </si>
  <si>
    <t>Поправка: т.ч.2.2 т.1</t>
  </si>
  <si>
    <t>4.8-74-2</t>
  </si>
  <si>
    <t>УСТРОЙСТВО ПОСТЕЛИ: НА КАЖДЫЙ ПОСЛЕДУЮЩИЙ КАБЕЛЬ ДОБАВЛЯТЬ К ПОЗ. 8-74-1</t>
  </si>
  <si>
    <t>ТСН-2001.4. База. Сб.8, т.74, поз.2</t>
  </si>
  <si>
    <t>3</t>
  </si>
  <si>
    <t>4.8-77-4</t>
  </si>
  <si>
    <t>КАБЕЛИ ДО 35 КВ, ПРОКЛАДЫВАЕМЫЕ ПО ДНУ КАНАЛА БЕЗ КРЕПЛЕНИЙ, КАБЕЛЬ, МАССА 1 М: ДО 6 КГ</t>
  </si>
  <si>
    <t>ТСН-2001.4. База. Сб.8, т.77, поз.4</t>
  </si>
  <si>
    <t>4.8-73-4</t>
  </si>
  <si>
    <t>КАБЕЛИ ДО 35 КВ В ГОТОВЫХ ТРАНШЕЯХ БЕЗ ПОКРЫТИЙ, КАБЕЛЬ МАССОЙ: ДО 6 КГ</t>
  </si>
  <si>
    <t>ТСН-2001.4. База. Сб.8, т.73, поз.4</t>
  </si>
  <si>
    <t>)*1,2</t>
  </si>
  <si>
    <t>1.23-7-584</t>
  </si>
  <si>
    <t>КАБЕЛИ СИЛОВЫЕ С АЛЮМИНИЕВЫМИ ЖИЛАМИ С ИЗОЛЯЦИЕЙ ИЗ СИЛАНОЛЬНОСШИТОГО ПОЛИЭТИЛЕНА, ЗАЩИТНЫЙ ПОКРОВ ТИПА ББШП, НАПРЯЖЕНИЕ 1000 В, МАРКА АПВББШП, ЧИСЛО ЖИЛ И СЕЧЕНИЕ, ММ2: 4Х240 МН</t>
  </si>
  <si>
    <t>км</t>
  </si>
  <si>
    <t>ТСН-2001.1. База. Р.23, о.7, поз.584</t>
  </si>
  <si>
    <t>Материалы монтажные</t>
  </si>
  <si>
    <t>ТСН-2001.1 Материалы монтажные</t>
  </si>
  <si>
    <t>ТСН-2001.1-2</t>
  </si>
  <si>
    <t>6</t>
  </si>
  <si>
    <t>4.8-95-5</t>
  </si>
  <si>
    <t>МУФТЫ МАЧТОВЫЕ КОНЦЕВЫЕ МЕТАЛЛИЧЕСКИЕ, МУФТА ДЛЯ КАБЕЛЯ, НАПРЯЖЕНИЕ ДО 1 КВ, СЕЧЕНИЕ: ДО 240 ММ2</t>
  </si>
  <si>
    <t>шт.</t>
  </si>
  <si>
    <t>ТСН-2001.4. База. Сб.8, т.95, поз.5</t>
  </si>
  <si>
    <t>ТСН-2001.4-8. 8-95</t>
  </si>
  <si>
    <t>ТСН-2001.4-8-6</t>
  </si>
  <si>
    <t>Поправка: т.ч.2.2 т.1  Поправка: т.ч.2.2 т.1  Поправка: т.ч.2.2 т.1</t>
  </si>
  <si>
    <t>1.21-5-251</t>
  </si>
  <si>
    <t>МУФТЫ СОЕДИНИТЕЛЬНЫЕ ТЕРМОУСАЖИВАЕМЫЕ ДЛЯ СОЕДИНЕНИЯ СИЛОВЫХ КАБЕЛЕЙ НА НАПРЯЖЕНИЕ 1 КВ, БЕЗ СОЕДИНИТЕЛЕЙ, ТИП 3СТП 1-240, СЕЧЕНИЕ ЖИЛ 150-240 ММ2</t>
  </si>
  <si>
    <t>компл.</t>
  </si>
  <si>
    <t>ТСН-2001.1. База. Р.21, о.5, поз.251</t>
  </si>
  <si>
    <t>4.8-75-5</t>
  </si>
  <si>
    <t>ПОКРЫТИЕ КАБЕЛЕЙ, ПРОЛОЖЕННЫХ В ТРАНШЕЕ, ПЛИТАМИ ИЗ ПОЛИМЕРНАПОЛНЕННЫХ МАТЕРИАЛОВ В ОДИН РЯД РАЗМЕРОМ 48Х24 СМ, РАСПОЛОЖЕННЫМИ ВДОЛЬ КАБЕЛЬНОЙ ЛИНИИ</t>
  </si>
  <si>
    <t>ТСН-2001.4. Доп.19. Сб.8, т.75, поз.5</t>
  </si>
  <si>
    <t>ТСН-2001.4-8. 8-75-5…8-75-11 (доп. 19)</t>
  </si>
  <si>
    <t>ТСН-2001.4-8-26</t>
  </si>
  <si>
    <t>8,1</t>
  </si>
  <si>
    <t>5716191000</t>
  </si>
  <si>
    <t>ПЛИТЫ ПЗК 48Х24, ДЛЯ ЗАЩИТЫ КАБЕЛЬНЫХ ЛИНИЙ</t>
  </si>
  <si>
    <t>занесена вручную</t>
  </si>
  <si>
    <t>Пусконаладочные работы</t>
  </si>
  <si>
    <t>4.10-104-15</t>
  </si>
  <si>
    <t>ИСПЫТАНИЕ ЭЛЕКТРИЧЕСКОЙ ПРОЧНОСТИ ИЗОЛЯЦИИ НА СМОНТИРОВАННОМ СИММЕТРИЧНОМ КАБЕЛЕ ПРИМЕРНО 1/4 УСИЛИТЕЛЬНОГО УЧАСТКА, СТРОИТЕЛЬНАЯ ДЛИНА ПРОЛОЖЕННОГО КАБЕЛЯ НА ДВУКАБЕЛЬНОЙ ЛИНИИ, ЕМКОСТЬ 7Х4</t>
  </si>
  <si>
    <t>кабель</t>
  </si>
  <si>
    <t>ТСН-2001.4. База. Сб.10, т.104, поз.15</t>
  </si>
  <si>
    <t>ТСН-2001.4-10. 10-92...10-114, 10-115-1...10-115-25</t>
  </si>
  <si>
    <t>ТСН-2001.4-10-2</t>
  </si>
  <si>
    <t>2.1-8-3</t>
  </si>
  <si>
    <t>АВТОЛАБОРАТОРИИ</t>
  </si>
  <si>
    <t>маш.-ч</t>
  </si>
  <si>
    <t>ТСН-2001.2. База. п.1-8-3 (085001)</t>
  </si>
  <si>
    <t>Механизмы</t>
  </si>
  <si>
    <t>ТСН-2001. Машины и механизмы</t>
  </si>
  <si>
    <t>ТСН-2001.2</t>
  </si>
  <si>
    <t>НДС</t>
  </si>
  <si>
    <t>18%</t>
  </si>
  <si>
    <t>ИТОГО</t>
  </si>
  <si>
    <t>с НДС</t>
  </si>
  <si>
    <t>Уровень цен</t>
  </si>
  <si>
    <t>Сборник индексов</t>
  </si>
  <si>
    <t>ТСН-2001 строительство</t>
  </si>
  <si>
    <t>142</t>
  </si>
  <si>
    <t>_OBSM_</t>
  </si>
  <si>
    <t>9999990008</t>
  </si>
  <si>
    <t>ТРУДОЗАТРАТЫ РАБОЧИХ (ЭСН)</t>
  </si>
  <si>
    <t>чел.-ч.</t>
  </si>
  <si>
    <t>2.1-17-76</t>
  </si>
  <si>
    <t>ТСН-2001.2. База. п.1-17-76 (177601)</t>
  </si>
  <si>
    <t>СПЕЦФУРГОН ТИПА ДКТ</t>
  </si>
  <si>
    <t>2.1-10-5</t>
  </si>
  <si>
    <t>ТСН-2001.2. Доп.46. п.1-10-5 (101002)</t>
  </si>
  <si>
    <t>КОМПРЕССОРЫ ПРИЦЕПНЫЕ С  ДВИГАТЕЛЕМ ВНУТРЕННЕГО СГОРАНИЯ, ПРОИЗВОДИТЕЛЬНОСТЬ ДО 5 М3/МИН, МОЩНОСТЬ ДВИГАТЕЛЯ ДО 29 КВТ (39,4 Л.С.)</t>
  </si>
  <si>
    <t>2.1-30-1</t>
  </si>
  <si>
    <t>ТСН-2001.2. База. п.1-30-1 (301201)</t>
  </si>
  <si>
    <t>ТРАМБОВКИ ПНЕВМАТИЧЕСКИЕ</t>
  </si>
  <si>
    <t>Поправка: т.ч.2.2 т.1  Наименование:  При выполнении работ в охранной зоне воздушных линий электропередачи, в местах прохода коммуникаций электроснабжения в действующих электроустановках, вблизи конструкций и предметов, находящихся под напряжением (в случаях, когда полное снятие напряжения по производственным условиям невозможно), если это связано с ограничением действий рабочих специальными требованиями техники безопасности</t>
  </si>
  <si>
    <t>(наименование стройки)</t>
  </si>
  <si>
    <t xml:space="preserve">Номер заказа   </t>
  </si>
  <si>
    <t>(наименование работ и затрат, наименование объекта)</t>
  </si>
  <si>
    <t>базовая цена</t>
  </si>
  <si>
    <t>текущая цена</t>
  </si>
  <si>
    <t>Сметная стоимость</t>
  </si>
  <si>
    <t>тыс. руб.</t>
  </si>
  <si>
    <t xml:space="preserve">     Строительные работы</t>
  </si>
  <si>
    <t xml:space="preserve">     Монтажные работы</t>
  </si>
  <si>
    <t xml:space="preserve">     Оборудование</t>
  </si>
  <si>
    <t xml:space="preserve">     Прочие работы</t>
  </si>
  <si>
    <t>Нормативная трудоемкость</t>
  </si>
  <si>
    <t>чел. -ч.</t>
  </si>
  <si>
    <t>Средства на оплату труда</t>
  </si>
  <si>
    <t>№ п/п</t>
  </si>
  <si>
    <t>Шифр расценки и коды ресурсов</t>
  </si>
  <si>
    <t>Наименование работ и затрат</t>
  </si>
  <si>
    <t>Ед. изм.</t>
  </si>
  <si>
    <t>Кол-во единиц</t>
  </si>
  <si>
    <t>Цена на ед. изм.</t>
  </si>
  <si>
    <t>Попра-вочные коэфф.</t>
  </si>
  <si>
    <t>Стоимость в ценах 2001г.</t>
  </si>
  <si>
    <t>Пункт коэфф. пересчета</t>
  </si>
  <si>
    <t>Коэфф. пересчета</t>
  </si>
  <si>
    <t>Стоимость в текущих ценах</t>
  </si>
  <si>
    <t>ЗТР всего чел.-час</t>
  </si>
  <si>
    <t>Составлена в ценах ТСН-2001 строительство №142 июль 2018 года</t>
  </si>
  <si>
    <t>Зарплата</t>
  </si>
  <si>
    <t>НР от ФОТ</t>
  </si>
  <si>
    <t>%</t>
  </si>
  <si>
    <t>СП от ФОТ</t>
  </si>
  <si>
    <t>Затраты труда</t>
  </si>
  <si>
    <t>чел-ч</t>
  </si>
  <si>
    <t>в т.ч. зарплата машинистов</t>
  </si>
  <si>
    <t>Материальные ресурсы</t>
  </si>
  <si>
    <t xml:space="preserve">   </t>
  </si>
  <si>
    <t xml:space="preserve">Составил  </t>
  </si>
  <si>
    <t>[должность,подпись(инициалы,фамилия)]</t>
  </si>
  <si>
    <t xml:space="preserve">Проверил  </t>
  </si>
  <si>
    <t>ЛОКАЛЬНАЯ СМЕТА № 01-01-01</t>
  </si>
  <si>
    <t xml:space="preserve">ПИР </t>
  </si>
  <si>
    <t>10% от СМР</t>
  </si>
  <si>
    <t>Реконструкция кабельных линий КЛ-0,4кВ от РУ-0,4кВ ТП-2 до ВРУ по адресу: МО, г. Королев, ул. Либкнехта, ул. Ленина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</si>
</sst>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\ #,##0.00"/>
    <numFmt numFmtId="165" formatCode="#,##0.00####;[Red]\-\ #,##0.00####"/>
    <numFmt numFmtId="166" formatCode="#,##0.00_ ;[Red]\-#,##0.00\ "/>
  </numFmts>
  <fonts count="19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9"/>
      <name val="Arial"/>
      <family val="2"/>
      <charset val="204"/>
    </font>
    <font>
      <i/>
      <sz val="11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11" fillId="0" borderId="0" xfId="0" applyFont="1" applyBorder="1"/>
    <xf numFmtId="0" fontId="10" fillId="0" borderId="1" xfId="0" applyFont="1" applyBorder="1" applyAlignment="1">
      <alignment horizontal="center" vertical="top" wrapText="1"/>
    </xf>
    <xf numFmtId="0" fontId="11" fillId="0" borderId="0" xfId="0" applyFont="1"/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3" fillId="0" borderId="0" xfId="0" applyFont="1" applyAlignment="1">
      <alignment vertical="center" wrapText="1"/>
    </xf>
    <xf numFmtId="0" fontId="12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4" fillId="0" borderId="2" xfId="0" applyFont="1" applyBorder="1" applyAlignment="1">
      <alignment horizontal="center" wrapText="1"/>
    </xf>
    <xf numFmtId="0" fontId="13" fillId="0" borderId="0" xfId="0" applyFont="1" applyBorder="1" applyAlignment="1">
      <alignment wrapText="1"/>
    </xf>
    <xf numFmtId="0" fontId="10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0" fontId="13" fillId="0" borderId="0" xfId="0" applyFont="1" applyAlignment="1">
      <alignment horizontal="right"/>
    </xf>
    <xf numFmtId="164" fontId="11" fillId="0" borderId="0" xfId="0" applyNumberFormat="1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right"/>
    </xf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9" fillId="0" borderId="0" xfId="0" applyFont="1" applyAlignment="1">
      <alignment wrapText="1"/>
    </xf>
    <xf numFmtId="164" fontId="0" fillId="0" borderId="0" xfId="0" applyNumberFormat="1"/>
    <xf numFmtId="0" fontId="11" fillId="0" borderId="2" xfId="0" applyFont="1" applyBorder="1"/>
    <xf numFmtId="0" fontId="0" fillId="0" borderId="2" xfId="0" applyBorder="1"/>
    <xf numFmtId="0" fontId="9" fillId="0" borderId="2" xfId="0" applyFont="1" applyBorder="1" applyAlignment="1">
      <alignment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top"/>
    </xf>
    <xf numFmtId="0" fontId="13" fillId="0" borderId="0" xfId="0" applyFont="1"/>
    <xf numFmtId="0" fontId="15" fillId="0" borderId="0" xfId="0" applyFont="1" applyAlignment="1">
      <alignment horizontal="center" wrapText="1"/>
    </xf>
    <xf numFmtId="0" fontId="1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17" fillId="0" borderId="0" xfId="0" applyFont="1" applyAlignment="1">
      <alignment horizontal="right" wrapText="1"/>
    </xf>
    <xf numFmtId="165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right" wrapText="1"/>
    </xf>
    <xf numFmtId="164" fontId="11" fillId="0" borderId="0" xfId="0" applyNumberFormat="1" applyFont="1" applyAlignment="1">
      <alignment horizontal="right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17" fillId="0" borderId="2" xfId="0" applyFont="1" applyBorder="1" applyAlignment="1">
      <alignment horizontal="right" wrapText="1"/>
    </xf>
    <xf numFmtId="0" fontId="11" fillId="0" borderId="2" xfId="0" applyFont="1" applyBorder="1" applyAlignment="1">
      <alignment horizontal="right"/>
    </xf>
    <xf numFmtId="165" fontId="11" fillId="0" borderId="2" xfId="0" applyNumberFormat="1" applyFont="1" applyBorder="1" applyAlignment="1">
      <alignment horizontal="right"/>
    </xf>
    <xf numFmtId="0" fontId="11" fillId="0" borderId="2" xfId="0" applyFont="1" applyBorder="1" applyAlignment="1">
      <alignment horizontal="right" wrapText="1"/>
    </xf>
    <xf numFmtId="164" fontId="11" fillId="0" borderId="2" xfId="0" applyNumberFormat="1" applyFont="1" applyBorder="1" applyAlignment="1">
      <alignment horizontal="right"/>
    </xf>
    <xf numFmtId="164" fontId="10" fillId="0" borderId="2" xfId="0" applyNumberFormat="1" applyFont="1" applyBorder="1" applyAlignment="1">
      <alignment horizontal="right"/>
    </xf>
    <xf numFmtId="164" fontId="13" fillId="0" borderId="1" xfId="0" applyNumberFormat="1" applyFont="1" applyBorder="1" applyAlignment="1">
      <alignment horizontal="right"/>
    </xf>
    <xf numFmtId="164" fontId="16" fillId="0" borderId="0" xfId="0" applyNumberFormat="1" applyFont="1" applyAlignment="1">
      <alignment horizontal="right"/>
    </xf>
    <xf numFmtId="0" fontId="10" fillId="0" borderId="2" xfId="0" applyFont="1" applyBorder="1" applyAlignment="1">
      <alignment horizontal="right"/>
    </xf>
    <xf numFmtId="164" fontId="17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11" fillId="0" borderId="2" xfId="0" quotePrefix="1" applyFont="1" applyBorder="1" applyAlignment="1">
      <alignment horizontal="right" wrapText="1"/>
    </xf>
    <xf numFmtId="164" fontId="17" fillId="0" borderId="2" xfId="0" applyNumberFormat="1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 wrapText="1"/>
    </xf>
    <xf numFmtId="0" fontId="11" fillId="0" borderId="2" xfId="0" applyFont="1" applyBorder="1" applyAlignment="1">
      <alignment horizontal="left" vertical="top"/>
    </xf>
    <xf numFmtId="0" fontId="11" fillId="0" borderId="2" xfId="0" applyFont="1" applyBorder="1" applyAlignment="1">
      <alignment horizontal="left" vertical="top" wrapText="1"/>
    </xf>
    <xf numFmtId="165" fontId="9" fillId="0" borderId="0" xfId="0" applyNumberFormat="1" applyFont="1" applyAlignment="1">
      <alignment horizontal="left"/>
    </xf>
    <xf numFmtId="0" fontId="13" fillId="0" borderId="0" xfId="0" applyFont="1" applyAlignment="1">
      <alignment horizontal="left" wrapText="1"/>
    </xf>
    <xf numFmtId="0" fontId="18" fillId="0" borderId="0" xfId="0" applyFont="1"/>
    <xf numFmtId="166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95"/>
  <sheetViews>
    <sheetView tabSelected="1" topLeftCell="A156" zoomScaleNormal="100" workbookViewId="0">
      <selection activeCell="J180" sqref="J180:K180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5" width="10.7109375" customWidth="1"/>
    <col min="6" max="8" width="12.7109375" customWidth="1"/>
    <col min="9" max="9" width="17.7109375" customWidth="1"/>
    <col min="10" max="10" width="8.7109375" customWidth="1"/>
    <col min="11" max="11" width="12.7109375" customWidth="1"/>
    <col min="12" max="12" width="8.7109375" customWidth="1"/>
    <col min="15" max="31" width="0" hidden="1" customWidth="1"/>
    <col min="32" max="32" width="91.7109375" hidden="1" customWidth="1"/>
    <col min="33" max="36" width="0" hidden="1" customWidth="1"/>
  </cols>
  <sheetData>
    <row r="1" spans="1:12" x14ac:dyDescent="0.2">
      <c r="A1" s="10" t="str">
        <f>Source!B1</f>
        <v>Smeta.RU  (495) 974-1589</v>
      </c>
    </row>
    <row r="2" spans="1:12" ht="15.75" x14ac:dyDescent="0.25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1"/>
    </row>
    <row r="3" spans="1:12" ht="14.25" x14ac:dyDescent="0.2">
      <c r="A3" s="13"/>
      <c r="B3" s="14" t="s">
        <v>209</v>
      </c>
      <c r="C3" s="14"/>
      <c r="D3" s="14"/>
      <c r="E3" s="14"/>
      <c r="F3" s="14"/>
      <c r="G3" s="14"/>
      <c r="H3" s="14"/>
      <c r="I3" s="14"/>
      <c r="J3" s="14"/>
      <c r="K3" s="14"/>
      <c r="L3" s="11"/>
    </row>
    <row r="4" spans="1:12" ht="14.25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2" ht="14.25" x14ac:dyDescent="0.2">
      <c r="A5" s="15"/>
      <c r="B5" s="15"/>
      <c r="C5" s="15"/>
      <c r="D5" s="15"/>
      <c r="E5" s="15"/>
      <c r="F5" s="16" t="s">
        <v>210</v>
      </c>
      <c r="G5" s="16"/>
      <c r="H5" s="17" t="str">
        <f>IF(Source!F12&lt;&gt;"Новый объект", Source!F12, "")</f>
        <v>Новый объект_(Копия)</v>
      </c>
      <c r="I5" s="17"/>
      <c r="J5" s="17"/>
      <c r="K5" s="17"/>
      <c r="L5" s="18"/>
    </row>
    <row r="6" spans="1:12" ht="14.25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</row>
    <row r="7" spans="1:12" ht="15.75" x14ac:dyDescent="0.25">
      <c r="A7" s="19"/>
      <c r="B7" s="12" t="s">
        <v>248</v>
      </c>
      <c r="C7" s="12"/>
      <c r="D7" s="12"/>
      <c r="E7" s="12"/>
      <c r="F7" s="12"/>
      <c r="G7" s="12"/>
      <c r="H7" s="12"/>
      <c r="I7" s="12"/>
      <c r="J7" s="12"/>
      <c r="K7" s="12"/>
      <c r="L7" s="19"/>
    </row>
    <row r="8" spans="1:12" ht="15.75" x14ac:dyDescent="0.25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19"/>
    </row>
    <row r="9" spans="1:12" ht="18" hidden="1" x14ac:dyDescent="0.25">
      <c r="A9" s="19"/>
      <c r="B9" s="21"/>
      <c r="C9" s="21"/>
      <c r="D9" s="21"/>
      <c r="E9" s="21"/>
      <c r="F9" s="21"/>
      <c r="G9" s="21"/>
      <c r="H9" s="21"/>
      <c r="I9" s="21"/>
      <c r="J9" s="21"/>
      <c r="K9" s="21"/>
      <c r="L9" s="19"/>
    </row>
    <row r="10" spans="1:12" ht="14.25" hidden="1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</row>
    <row r="11" spans="1:12" ht="39" customHeight="1" x14ac:dyDescent="0.25">
      <c r="A11" s="15"/>
      <c r="B11" s="22" t="s">
        <v>251</v>
      </c>
      <c r="C11" s="22"/>
      <c r="D11" s="22"/>
      <c r="E11" s="22"/>
      <c r="F11" s="22"/>
      <c r="G11" s="22"/>
      <c r="H11" s="22"/>
      <c r="I11" s="22"/>
      <c r="J11" s="22"/>
      <c r="K11" s="22"/>
      <c r="L11" s="23"/>
    </row>
    <row r="12" spans="1:12" ht="14.25" x14ac:dyDescent="0.2">
      <c r="A12" s="15"/>
      <c r="B12" s="24" t="s">
        <v>211</v>
      </c>
      <c r="C12" s="24"/>
      <c r="D12" s="24"/>
      <c r="E12" s="24"/>
      <c r="F12" s="24"/>
      <c r="G12" s="24"/>
      <c r="H12" s="24"/>
      <c r="I12" s="24"/>
      <c r="J12" s="24"/>
      <c r="K12" s="24"/>
      <c r="L12" s="11"/>
    </row>
    <row r="13" spans="1:12" ht="14.25" x14ac:dyDescent="0.2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</row>
    <row r="14" spans="1:12" ht="14.25" x14ac:dyDescent="0.2">
      <c r="A14" s="17" t="str">
        <f>CONCATENATE("Основание: ", Source!J12)</f>
        <v xml:space="preserve">Основание: 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</row>
    <row r="15" spans="1:12" ht="14.25" x14ac:dyDescent="0.2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spans="1:12" ht="14.25" x14ac:dyDescent="0.2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</row>
    <row r="17" spans="1:12" ht="14.25" x14ac:dyDescent="0.2">
      <c r="A17" s="15"/>
      <c r="B17" s="15"/>
      <c r="C17" s="15"/>
      <c r="D17" s="15"/>
      <c r="E17" s="25"/>
      <c r="F17" s="25"/>
      <c r="G17" s="26" t="s">
        <v>212</v>
      </c>
      <c r="H17" s="26"/>
      <c r="I17" s="26" t="s">
        <v>213</v>
      </c>
      <c r="J17" s="26"/>
      <c r="K17" s="15"/>
      <c r="L17" s="15"/>
    </row>
    <row r="18" spans="1:12" ht="15" x14ac:dyDescent="0.25">
      <c r="A18" s="15"/>
      <c r="B18" s="15"/>
      <c r="C18" s="27" t="s">
        <v>214</v>
      </c>
      <c r="D18" s="27"/>
      <c r="E18" s="27"/>
      <c r="F18" s="27"/>
      <c r="G18" s="28">
        <f>SUM(O1:O178)/1000</f>
        <v>236.64114999999998</v>
      </c>
      <c r="H18" s="28"/>
      <c r="I18" s="28">
        <v>1554.1210000000001</v>
      </c>
      <c r="J18" s="28"/>
      <c r="K18" s="29" t="s">
        <v>215</v>
      </c>
      <c r="L18" s="29"/>
    </row>
    <row r="19" spans="1:12" ht="14.25" x14ac:dyDescent="0.2">
      <c r="A19" s="15"/>
      <c r="B19" s="15"/>
      <c r="C19" s="30" t="s">
        <v>216</v>
      </c>
      <c r="D19" s="30"/>
      <c r="E19" s="30"/>
      <c r="F19" s="30"/>
      <c r="G19" s="28">
        <f>SUM(W1:W178)/1000</f>
        <v>40.879309999999997</v>
      </c>
      <c r="H19" s="28"/>
      <c r="I19" s="28">
        <f>(Source!F191)/1000</f>
        <v>591.92318999999998</v>
      </c>
      <c r="J19" s="28"/>
      <c r="K19" s="29" t="s">
        <v>215</v>
      </c>
      <c r="L19" s="29"/>
    </row>
    <row r="20" spans="1:12" ht="14.25" x14ac:dyDescent="0.2">
      <c r="A20" s="15"/>
      <c r="B20" s="15"/>
      <c r="C20" s="30" t="s">
        <v>217</v>
      </c>
      <c r="D20" s="30"/>
      <c r="E20" s="30"/>
      <c r="F20" s="30"/>
      <c r="G20" s="28">
        <f>SUM(X1:X178)/1000</f>
        <v>195.06443999999999</v>
      </c>
      <c r="H20" s="28"/>
      <c r="I20" s="28">
        <f>(Source!F192)/1000</f>
        <v>628.23119999999994</v>
      </c>
      <c r="J20" s="28"/>
      <c r="K20" s="29" t="s">
        <v>215</v>
      </c>
      <c r="L20" s="29"/>
    </row>
    <row r="21" spans="1:12" ht="14.25" x14ac:dyDescent="0.2">
      <c r="A21" s="15"/>
      <c r="B21" s="15"/>
      <c r="C21" s="30" t="s">
        <v>218</v>
      </c>
      <c r="D21" s="30"/>
      <c r="E21" s="30"/>
      <c r="F21" s="30"/>
      <c r="G21" s="28">
        <f>SUM(Y1:Y178)/1000</f>
        <v>0</v>
      </c>
      <c r="H21" s="28"/>
      <c r="I21" s="28">
        <f>(Source!F183)/1000</f>
        <v>0</v>
      </c>
      <c r="J21" s="28"/>
      <c r="K21" s="29" t="s">
        <v>215</v>
      </c>
      <c r="L21" s="29"/>
    </row>
    <row r="22" spans="1:12" ht="14.25" x14ac:dyDescent="0.2">
      <c r="A22" s="15"/>
      <c r="B22" s="15"/>
      <c r="C22" s="30" t="s">
        <v>219</v>
      </c>
      <c r="D22" s="30"/>
      <c r="E22" s="30"/>
      <c r="F22" s="30"/>
      <c r="G22" s="28">
        <f>SUM(Z1:Z178)/1000</f>
        <v>0.69740000000000002</v>
      </c>
      <c r="H22" s="28"/>
      <c r="I22" s="28">
        <f>(Source!F193+Source!F194)/1000</f>
        <v>5.6896599999999999</v>
      </c>
      <c r="J22" s="28"/>
      <c r="K22" s="29" t="s">
        <v>215</v>
      </c>
      <c r="L22" s="29"/>
    </row>
    <row r="23" spans="1:12" ht="15" x14ac:dyDescent="0.25">
      <c r="A23" s="15"/>
      <c r="B23" s="15"/>
      <c r="C23" s="27" t="s">
        <v>220</v>
      </c>
      <c r="D23" s="27"/>
      <c r="E23" s="27"/>
      <c r="F23" s="27"/>
      <c r="G23" s="28">
        <f>I23</f>
        <v>1127.342646674</v>
      </c>
      <c r="H23" s="28"/>
      <c r="I23" s="28">
        <f>(Source!F196+Source!F197)</f>
        <v>1127.342646674</v>
      </c>
      <c r="J23" s="28"/>
      <c r="K23" s="29" t="s">
        <v>221</v>
      </c>
      <c r="L23" s="29"/>
    </row>
    <row r="24" spans="1:12" ht="15" x14ac:dyDescent="0.25">
      <c r="A24" s="15"/>
      <c r="B24" s="15"/>
      <c r="C24" s="27" t="s">
        <v>222</v>
      </c>
      <c r="D24" s="27"/>
      <c r="E24" s="27"/>
      <c r="F24" s="27"/>
      <c r="G24" s="28">
        <f>SUM(R1:R178)/1000</f>
        <v>16.756109999999996</v>
      </c>
      <c r="H24" s="28"/>
      <c r="I24" s="28">
        <f>(Source!F189+ Source!F188)/1000</f>
        <v>347.52153000000004</v>
      </c>
      <c r="J24" s="28"/>
      <c r="K24" s="29" t="s">
        <v>215</v>
      </c>
      <c r="L24" s="29"/>
    </row>
    <row r="25" spans="1:12" ht="14.25" x14ac:dyDescent="0.2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</row>
    <row r="26" spans="1:12" ht="14.25" x14ac:dyDescent="0.2">
      <c r="A26" s="31" t="s">
        <v>235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1:12" ht="57" x14ac:dyDescent="0.2">
      <c r="A27" s="32" t="s">
        <v>223</v>
      </c>
      <c r="B27" s="32" t="s">
        <v>224</v>
      </c>
      <c r="C27" s="32" t="s">
        <v>225</v>
      </c>
      <c r="D27" s="32" t="s">
        <v>226</v>
      </c>
      <c r="E27" s="32" t="s">
        <v>227</v>
      </c>
      <c r="F27" s="32" t="s">
        <v>228</v>
      </c>
      <c r="G27" s="32" t="s">
        <v>229</v>
      </c>
      <c r="H27" s="32" t="s">
        <v>230</v>
      </c>
      <c r="I27" s="32" t="s">
        <v>231</v>
      </c>
      <c r="J27" s="32" t="s">
        <v>232</v>
      </c>
      <c r="K27" s="32" t="s">
        <v>233</v>
      </c>
      <c r="L27" s="32" t="s">
        <v>234</v>
      </c>
    </row>
    <row r="28" spans="1:12" ht="14.25" x14ac:dyDescent="0.2">
      <c r="A28" s="33">
        <v>1</v>
      </c>
      <c r="B28" s="33">
        <v>2</v>
      </c>
      <c r="C28" s="33">
        <v>3</v>
      </c>
      <c r="D28" s="33">
        <v>4</v>
      </c>
      <c r="E28" s="33">
        <v>5</v>
      </c>
      <c r="F28" s="33">
        <v>6</v>
      </c>
      <c r="G28" s="33">
        <v>7</v>
      </c>
      <c r="H28" s="33">
        <v>8</v>
      </c>
      <c r="I28" s="33">
        <v>9</v>
      </c>
      <c r="J28" s="33">
        <v>10</v>
      </c>
      <c r="K28" s="33">
        <v>11</v>
      </c>
      <c r="L28" s="34">
        <v>12</v>
      </c>
    </row>
    <row r="30" spans="1:12" ht="16.5" x14ac:dyDescent="0.25">
      <c r="A30" s="44" t="str">
        <f>CONCATENATE("Локальная смета: ",IF(Source!G20&lt;&gt;"Новая локальная смета", Source!G20, ""))</f>
        <v xml:space="preserve">Локальная смета: 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</row>
    <row r="32" spans="1:12" ht="16.5" x14ac:dyDescent="0.25">
      <c r="A32" s="44" t="str">
        <f>CONCATENATE("Раздел: ",IF(Source!G24&lt;&gt;"Новый раздел", Source!G24, ""))</f>
        <v>Раздел: Общестроительные работы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</row>
    <row r="33" spans="1:26" ht="57" x14ac:dyDescent="0.2">
      <c r="A33" s="67" t="str">
        <f>Source!E28</f>
        <v>1</v>
      </c>
      <c r="B33" s="68" t="str">
        <f>Source!F28</f>
        <v>3.1-49-1</v>
      </c>
      <c r="C33" s="68" t="str">
        <f>Source!G28</f>
        <v>РАЗРАБОТКА ГРУНТА ВРУЧНУЮ С КРЕПЛЕНИЯМИ В ТРАНШЕЯХ ШИРИНОЙ ДО 2 М ГЛУБИНОЙ, ДО 2 М ГРУППА ГРУНТОВ 1-3</v>
      </c>
      <c r="D33" s="47" t="str">
        <f>Source!H28</f>
        <v>100 м3</v>
      </c>
      <c r="E33" s="41">
        <f>Source!I28</f>
        <v>1.8640000000000001</v>
      </c>
      <c r="F33" s="48">
        <f>Source!AL28+Source!AM28+Source!AO28</f>
        <v>2584.9699999999998</v>
      </c>
      <c r="G33" s="49"/>
      <c r="H33" s="50"/>
      <c r="I33" s="49" t="str">
        <f>Source!BO28</f>
        <v>3.1-49-1</v>
      </c>
      <c r="J33" s="49"/>
      <c r="K33" s="50"/>
      <c r="L33" s="51"/>
      <c r="S33">
        <f>ROUND((Source!FX28/100)*((ROUND((Source!AF28*Source!AV28)*Source!I28, 2)+ROUND((Source!AE28*Source!AV28)*Source!I28, 2))), 2)</f>
        <v>7261.11</v>
      </c>
      <c r="T33">
        <f>Source!X28</f>
        <v>121910.61</v>
      </c>
      <c r="U33">
        <f>ROUND((Source!FY28/100)*((ROUND((Source!AF28*Source!AV28)*Source!I28, 2)+ROUND((Source!AE28*Source!AV28)*Source!I28, 2))), 2)</f>
        <v>5324.81</v>
      </c>
      <c r="V33">
        <f>Source!Y28</f>
        <v>58803.94</v>
      </c>
    </row>
    <row r="34" spans="1:26" x14ac:dyDescent="0.2">
      <c r="C34" s="35" t="str">
        <f>"Объем: "&amp;Source!I28&amp;"=186,4/"&amp;"100"</f>
        <v>Объем: 1,864=186,4/100</v>
      </c>
    </row>
    <row r="35" spans="1:26" ht="14.25" x14ac:dyDescent="0.2">
      <c r="A35" s="67"/>
      <c r="B35" s="68"/>
      <c r="C35" s="68" t="s">
        <v>236</v>
      </c>
      <c r="D35" s="47"/>
      <c r="E35" s="41"/>
      <c r="F35" s="48">
        <f>Source!AO28</f>
        <v>2584.9699999999998</v>
      </c>
      <c r="G35" s="49" t="str">
        <f>Source!DG28</f>
        <v>)*1,15</v>
      </c>
      <c r="H35" s="50">
        <f>ROUND((Source!AF28*Source!AV28)*Source!I28, 2)</f>
        <v>6915.34</v>
      </c>
      <c r="I35" s="49"/>
      <c r="J35" s="49">
        <f>IF(Source!BA28&lt;&gt; 0, Source!BA28, 1)</f>
        <v>20.74</v>
      </c>
      <c r="K35" s="50">
        <f>Source!S28</f>
        <v>143424.25</v>
      </c>
      <c r="L35" s="51"/>
      <c r="R35">
        <f>H35</f>
        <v>6915.34</v>
      </c>
    </row>
    <row r="36" spans="1:26" ht="14.25" x14ac:dyDescent="0.2">
      <c r="A36" s="67"/>
      <c r="B36" s="68"/>
      <c r="C36" s="68" t="s">
        <v>237</v>
      </c>
      <c r="D36" s="47" t="s">
        <v>238</v>
      </c>
      <c r="E36" s="41">
        <f>Source!DN28</f>
        <v>105</v>
      </c>
      <c r="F36" s="71"/>
      <c r="G36" s="49"/>
      <c r="H36" s="50">
        <f>SUM(S33:S38)</f>
        <v>7261.11</v>
      </c>
      <c r="I36" s="52"/>
      <c r="J36" s="45">
        <f>Source!AT28</f>
        <v>85</v>
      </c>
      <c r="K36" s="50">
        <f>SUM(T33:T38)</f>
        <v>121910.61</v>
      </c>
      <c r="L36" s="51"/>
    </row>
    <row r="37" spans="1:26" ht="14.25" x14ac:dyDescent="0.2">
      <c r="A37" s="67"/>
      <c r="B37" s="68"/>
      <c r="C37" s="68" t="s">
        <v>239</v>
      </c>
      <c r="D37" s="47" t="s">
        <v>238</v>
      </c>
      <c r="E37" s="41">
        <f>Source!DO28</f>
        <v>77</v>
      </c>
      <c r="F37" s="71"/>
      <c r="G37" s="49"/>
      <c r="H37" s="50">
        <f>SUM(U33:U38)</f>
        <v>5324.81</v>
      </c>
      <c r="I37" s="52"/>
      <c r="J37" s="45">
        <f>Source!AU28</f>
        <v>41</v>
      </c>
      <c r="K37" s="50">
        <f>SUM(V33:V38)</f>
        <v>58803.94</v>
      </c>
      <c r="L37" s="51"/>
    </row>
    <row r="38" spans="1:26" ht="14.25" x14ac:dyDescent="0.2">
      <c r="A38" s="69"/>
      <c r="B38" s="70"/>
      <c r="C38" s="70" t="s">
        <v>240</v>
      </c>
      <c r="D38" s="53" t="s">
        <v>241</v>
      </c>
      <c r="E38" s="54">
        <f>Source!AQ28</f>
        <v>222.65</v>
      </c>
      <c r="F38" s="55"/>
      <c r="G38" s="56" t="str">
        <f>Source!DI28</f>
        <v>)*1,15</v>
      </c>
      <c r="H38" s="57"/>
      <c r="I38" s="56"/>
      <c r="J38" s="56"/>
      <c r="K38" s="57"/>
      <c r="L38" s="58">
        <f>Source!U28</f>
        <v>595.63612992000003</v>
      </c>
    </row>
    <row r="39" spans="1:26" ht="15" x14ac:dyDescent="0.25">
      <c r="G39" s="59">
        <f>H35+H36+H37</f>
        <v>19501.260000000002</v>
      </c>
      <c r="H39" s="59"/>
      <c r="J39" s="59">
        <f>K35+K36+K37</f>
        <v>324138.8</v>
      </c>
      <c r="K39" s="59"/>
      <c r="L39" s="60">
        <f>Source!U28</f>
        <v>595.63612992000003</v>
      </c>
      <c r="O39" s="36">
        <f>G39</f>
        <v>19501.260000000002</v>
      </c>
      <c r="P39" s="36">
        <f>J39</f>
        <v>324138.8</v>
      </c>
      <c r="Q39" s="36">
        <f>L39</f>
        <v>595.63612992000003</v>
      </c>
      <c r="W39">
        <f>IF(Source!BI28&lt;=1,H35+H36+H37, 0)</f>
        <v>19501.260000000002</v>
      </c>
      <c r="X39">
        <f>IF(Source!BI28=2,H35+H36+H37, 0)</f>
        <v>0</v>
      </c>
      <c r="Y39">
        <f>IF(Source!BI28=3,H35+H36+H37, 0)</f>
        <v>0</v>
      </c>
      <c r="Z39">
        <f>IF(Source!BI28=4,H35+H36+H37, 0)</f>
        <v>0</v>
      </c>
    </row>
    <row r="40" spans="1:26" ht="42.75" x14ac:dyDescent="0.2">
      <c r="A40" s="67" t="str">
        <f>Source!E29</f>
        <v>2</v>
      </c>
      <c r="B40" s="68" t="str">
        <f>Source!F29</f>
        <v>3.1-53-1</v>
      </c>
      <c r="C40" s="68" t="str">
        <f>Source!G29</f>
        <v>ЗАСЫПКА ВРУЧНУЮ ТРАНШЕЙ, ПАЗУХ КОТЛОВАНОВ И ЯМ ГРУППА ГРУНТОВ 1-3</v>
      </c>
      <c r="D40" s="47" t="str">
        <f>Source!H29</f>
        <v>100 м3</v>
      </c>
      <c r="E40" s="41">
        <f>Source!I29</f>
        <v>1.863</v>
      </c>
      <c r="F40" s="48">
        <f>Source!AL29+Source!AM29+Source!AO29</f>
        <v>1051.1300000000001</v>
      </c>
      <c r="G40" s="49"/>
      <c r="H40" s="50"/>
      <c r="I40" s="49" t="str">
        <f>Source!BO29</f>
        <v>3.1-53-1</v>
      </c>
      <c r="J40" s="49"/>
      <c r="K40" s="50"/>
      <c r="L40" s="51"/>
      <c r="S40">
        <f>ROUND((Source!FX29/100)*((ROUND((Source!AF29*Source!AV29)*Source!I29, 2)+ROUND((Source!AE29*Source!AV29)*Source!I29, 2))), 2)</f>
        <v>2951.01</v>
      </c>
      <c r="T40">
        <f>Source!X29</f>
        <v>49546.09</v>
      </c>
      <c r="U40">
        <f>ROUND((Source!FY29/100)*((ROUND((Source!AF29*Source!AV29)*Source!I29, 2)+ROUND((Source!AE29*Source!AV29)*Source!I29, 2))), 2)</f>
        <v>2164.08</v>
      </c>
      <c r="V40">
        <f>Source!Y29</f>
        <v>23898.7</v>
      </c>
    </row>
    <row r="41" spans="1:26" x14ac:dyDescent="0.2">
      <c r="C41" s="35" t="str">
        <f>"Объем: "&amp;Source!I29&amp;"=186,3/"&amp;"100"</f>
        <v>Объем: 1,863=186,3/100</v>
      </c>
    </row>
    <row r="42" spans="1:26" ht="14.25" x14ac:dyDescent="0.2">
      <c r="A42" s="67"/>
      <c r="B42" s="68"/>
      <c r="C42" s="68" t="s">
        <v>236</v>
      </c>
      <c r="D42" s="47"/>
      <c r="E42" s="41"/>
      <c r="F42" s="48">
        <f>Source!AO29</f>
        <v>1051.1300000000001</v>
      </c>
      <c r="G42" s="49" t="str">
        <f>Source!DG29</f>
        <v>)*1,15</v>
      </c>
      <c r="H42" s="50">
        <f>ROUND((Source!AF29*Source!AV29)*Source!I29, 2)</f>
        <v>2810.49</v>
      </c>
      <c r="I42" s="49"/>
      <c r="J42" s="49">
        <f>IF(Source!BA29&lt;&gt; 0, Source!BA29, 1)</f>
        <v>20.74</v>
      </c>
      <c r="K42" s="50">
        <f>Source!S29</f>
        <v>58289.52</v>
      </c>
      <c r="L42" s="51"/>
      <c r="R42">
        <f>H42</f>
        <v>2810.49</v>
      </c>
    </row>
    <row r="43" spans="1:26" ht="14.25" x14ac:dyDescent="0.2">
      <c r="A43" s="67"/>
      <c r="B43" s="68"/>
      <c r="C43" s="68" t="s">
        <v>237</v>
      </c>
      <c r="D43" s="47" t="s">
        <v>238</v>
      </c>
      <c r="E43" s="41">
        <f>Source!DN29</f>
        <v>105</v>
      </c>
      <c r="F43" s="71"/>
      <c r="G43" s="49"/>
      <c r="H43" s="50">
        <f>SUM(S40:S45)</f>
        <v>2951.01</v>
      </c>
      <c r="I43" s="52"/>
      <c r="J43" s="45">
        <f>Source!AT29</f>
        <v>85</v>
      </c>
      <c r="K43" s="50">
        <f>SUM(T40:T45)</f>
        <v>49546.09</v>
      </c>
      <c r="L43" s="51"/>
    </row>
    <row r="44" spans="1:26" ht="14.25" x14ac:dyDescent="0.2">
      <c r="A44" s="67"/>
      <c r="B44" s="68"/>
      <c r="C44" s="68" t="s">
        <v>239</v>
      </c>
      <c r="D44" s="47" t="s">
        <v>238</v>
      </c>
      <c r="E44" s="41">
        <f>Source!DO29</f>
        <v>77</v>
      </c>
      <c r="F44" s="71"/>
      <c r="G44" s="49"/>
      <c r="H44" s="50">
        <f>SUM(U40:U45)</f>
        <v>2164.08</v>
      </c>
      <c r="I44" s="52"/>
      <c r="J44" s="45">
        <f>Source!AU29</f>
        <v>41</v>
      </c>
      <c r="K44" s="50">
        <f>SUM(V40:V45)</f>
        <v>23898.7</v>
      </c>
      <c r="L44" s="51"/>
    </row>
    <row r="45" spans="1:26" ht="14.25" x14ac:dyDescent="0.2">
      <c r="A45" s="69"/>
      <c r="B45" s="70"/>
      <c r="C45" s="70" t="s">
        <v>240</v>
      </c>
      <c r="D45" s="53" t="s">
        <v>241</v>
      </c>
      <c r="E45" s="54">
        <f>Source!AQ29</f>
        <v>107.04</v>
      </c>
      <c r="F45" s="55"/>
      <c r="G45" s="56" t="str">
        <f>Source!DI29</f>
        <v>)*1,15</v>
      </c>
      <c r="H45" s="57"/>
      <c r="I45" s="56"/>
      <c r="J45" s="56"/>
      <c r="K45" s="57"/>
      <c r="L45" s="58">
        <f>Source!U29</f>
        <v>286.201154304</v>
      </c>
    </row>
    <row r="46" spans="1:26" ht="15" x14ac:dyDescent="0.25">
      <c r="G46" s="59">
        <f>H42+H43+H44</f>
        <v>7925.58</v>
      </c>
      <c r="H46" s="59"/>
      <c r="J46" s="59">
        <f>K42+K43+K44</f>
        <v>131734.31</v>
      </c>
      <c r="K46" s="59"/>
      <c r="L46" s="60">
        <f>Source!U29</f>
        <v>286.201154304</v>
      </c>
      <c r="O46" s="36">
        <f>G46</f>
        <v>7925.58</v>
      </c>
      <c r="P46" s="36">
        <f>J46</f>
        <v>131734.31</v>
      </c>
      <c r="Q46" s="36">
        <f>L46</f>
        <v>286.201154304</v>
      </c>
      <c r="W46">
        <f>IF(Source!BI29&lt;=1,H42+H43+H44, 0)</f>
        <v>7925.58</v>
      </c>
      <c r="X46">
        <f>IF(Source!BI29=2,H42+H43+H44, 0)</f>
        <v>0</v>
      </c>
      <c r="Y46">
        <f>IF(Source!BI29=3,H42+H43+H44, 0)</f>
        <v>0</v>
      </c>
      <c r="Z46">
        <f>IF(Source!BI29=4,H42+H43+H44, 0)</f>
        <v>0</v>
      </c>
    </row>
    <row r="47" spans="1:26" ht="28.5" x14ac:dyDescent="0.2">
      <c r="A47" s="69" t="str">
        <f>Source!E30</f>
        <v>4</v>
      </c>
      <c r="B47" s="70" t="str">
        <f>Source!F30</f>
        <v>1.1-1-766</v>
      </c>
      <c r="C47" s="70" t="str">
        <f>Source!G30</f>
        <v>ПЕСОК ДЛЯ СТРОИТЕЛЬНЫХ РАБОТ, РЯДОВОЙ</v>
      </c>
      <c r="D47" s="53" t="str">
        <f>Source!H30</f>
        <v>м3</v>
      </c>
      <c r="E47" s="54">
        <f>Source!I30</f>
        <v>62.55</v>
      </c>
      <c r="F47" s="55">
        <f>Source!AL30</f>
        <v>104.99</v>
      </c>
      <c r="G47" s="56" t="str">
        <f>Source!DD30</f>
        <v/>
      </c>
      <c r="H47" s="57">
        <f>ROUND((Source!AC30*Source!AW30)*Source!I30, 2)</f>
        <v>6567.12</v>
      </c>
      <c r="I47" s="56" t="str">
        <f>Source!BO30</f>
        <v>1.1-1-766</v>
      </c>
      <c r="J47" s="56">
        <f>IF(Source!BC30&lt;&gt; 0, Source!BC30, 1)</f>
        <v>5.6</v>
      </c>
      <c r="K47" s="57">
        <f>Source!P30</f>
        <v>36775.9</v>
      </c>
      <c r="L47" s="61"/>
      <c r="S47">
        <f>ROUND((Source!FX30/100)*((ROUND((Source!AF30*Source!AV30)*Source!I30, 2)+ROUND((Source!AE30*Source!AV30)*Source!I30, 2))), 2)</f>
        <v>0</v>
      </c>
      <c r="T47">
        <f>Source!X30</f>
        <v>0</v>
      </c>
      <c r="U47">
        <f>ROUND((Source!FY30/100)*((ROUND((Source!AF30*Source!AV30)*Source!I30, 2)+ROUND((Source!AE30*Source!AV30)*Source!I30, 2))), 2)</f>
        <v>0</v>
      </c>
      <c r="V47">
        <f>Source!Y30</f>
        <v>0</v>
      </c>
    </row>
    <row r="48" spans="1:26" ht="15" x14ac:dyDescent="0.25">
      <c r="G48" s="59">
        <f>H47</f>
        <v>6567.12</v>
      </c>
      <c r="H48" s="59"/>
      <c r="J48" s="59">
        <f>K47</f>
        <v>36775.9</v>
      </c>
      <c r="K48" s="59"/>
      <c r="L48" s="60">
        <f>Source!U30</f>
        <v>0</v>
      </c>
      <c r="O48" s="36">
        <f>G48</f>
        <v>6567.12</v>
      </c>
      <c r="P48" s="36">
        <f>J48</f>
        <v>36775.9</v>
      </c>
      <c r="Q48" s="36">
        <f>L48</f>
        <v>0</v>
      </c>
      <c r="W48">
        <f>IF(Source!BI30&lt;=1,H47, 0)</f>
        <v>6567.12</v>
      </c>
      <c r="X48">
        <f>IF(Source!BI30=2,H47, 0)</f>
        <v>0</v>
      </c>
      <c r="Y48">
        <f>IF(Source!BI30=3,H47, 0)</f>
        <v>0</v>
      </c>
      <c r="Z48">
        <f>IF(Source!BI30=4,H47, 0)</f>
        <v>0</v>
      </c>
    </row>
    <row r="49" spans="1:26" ht="42.75" x14ac:dyDescent="0.2">
      <c r="A49" s="67" t="str">
        <f>Source!E31</f>
        <v>5</v>
      </c>
      <c r="B49" s="68" t="str">
        <f>Source!F31</f>
        <v>6.66-86-1</v>
      </c>
      <c r="C49" s="68" t="str">
        <f>Source!G31</f>
        <v>ПОГРУЗКА ВРУЧНУЮ СТРОИТЕЛЬНОГО МУСОРА В САМОСВАЛ</v>
      </c>
      <c r="D49" s="47" t="str">
        <f>Source!H31</f>
        <v>т</v>
      </c>
      <c r="E49" s="41">
        <f>Source!I31</f>
        <v>18</v>
      </c>
      <c r="F49" s="48">
        <f>Source!AL31+Source!AM31+Source!AO31</f>
        <v>69.72</v>
      </c>
      <c r="G49" s="49"/>
      <c r="H49" s="50"/>
      <c r="I49" s="49" t="str">
        <f>Source!BO31</f>
        <v>6.66-86-1</v>
      </c>
      <c r="J49" s="49"/>
      <c r="K49" s="50"/>
      <c r="L49" s="51"/>
      <c r="S49">
        <f>ROUND((Source!FX31/100)*((ROUND((Source!AF31*Source!AV31)*Source!I31, 2)+ROUND((Source!AE31*Source!AV31)*Source!I31, 2))), 2)</f>
        <v>480.37</v>
      </c>
      <c r="T49">
        <f>Source!X31</f>
        <v>3803.48</v>
      </c>
      <c r="U49">
        <f>ROUND((Source!FY31/100)*((ROUND((Source!AF31*Source!AV31)*Source!I31, 2)+ROUND((Source!AE31*Source!AV31)*Source!I31, 2))), 2)</f>
        <v>369.52</v>
      </c>
      <c r="V49">
        <f>Source!Y31</f>
        <v>2136.1999999999998</v>
      </c>
    </row>
    <row r="50" spans="1:26" ht="14.25" x14ac:dyDescent="0.2">
      <c r="A50" s="67"/>
      <c r="B50" s="68"/>
      <c r="C50" s="68" t="s">
        <v>236</v>
      </c>
      <c r="D50" s="47"/>
      <c r="E50" s="41"/>
      <c r="F50" s="48">
        <f>Source!AO31</f>
        <v>13.33</v>
      </c>
      <c r="G50" s="49" t="str">
        <f>Source!DG31</f>
        <v/>
      </c>
      <c r="H50" s="50">
        <f>ROUND((Source!AF31*Source!AV31)*Source!I31, 2)</f>
        <v>251.22</v>
      </c>
      <c r="I50" s="49"/>
      <c r="J50" s="49">
        <f>IF(Source!BA31&lt;&gt; 0, Source!BA31, 1)</f>
        <v>20.74</v>
      </c>
      <c r="K50" s="50">
        <f>Source!S31</f>
        <v>5210.24</v>
      </c>
      <c r="L50" s="51"/>
      <c r="R50">
        <f>H50</f>
        <v>251.22</v>
      </c>
    </row>
    <row r="51" spans="1:26" ht="14.25" x14ac:dyDescent="0.2">
      <c r="A51" s="67"/>
      <c r="B51" s="68"/>
      <c r="C51" s="68" t="s">
        <v>94</v>
      </c>
      <c r="D51" s="47"/>
      <c r="E51" s="41"/>
      <c r="F51" s="48">
        <f>Source!AM31</f>
        <v>56.39</v>
      </c>
      <c r="G51" s="49" t="str">
        <f>Source!DE31</f>
        <v/>
      </c>
      <c r="H51" s="50">
        <f>ROUND((Source!AD31*Source!AV31)*Source!I31, 2)</f>
        <v>1062.73</v>
      </c>
      <c r="I51" s="49"/>
      <c r="J51" s="49">
        <f>IF(Source!BB31&lt;&gt; 0, Source!BB31, 1)</f>
        <v>6.61</v>
      </c>
      <c r="K51" s="50">
        <f>Source!Q31</f>
        <v>7024.62</v>
      </c>
      <c r="L51" s="51"/>
    </row>
    <row r="52" spans="1:26" ht="14.25" x14ac:dyDescent="0.2">
      <c r="A52" s="67"/>
      <c r="B52" s="68"/>
      <c r="C52" s="68" t="s">
        <v>242</v>
      </c>
      <c r="D52" s="47"/>
      <c r="E52" s="41"/>
      <c r="F52" s="48">
        <f>Source!AN31</f>
        <v>14.68</v>
      </c>
      <c r="G52" s="49" t="str">
        <f>Source!DF31</f>
        <v/>
      </c>
      <c r="H52" s="62">
        <f>ROUND((Source!AE31*Source!AV31)*Source!I31, 2)</f>
        <v>276.66000000000003</v>
      </c>
      <c r="I52" s="49"/>
      <c r="J52" s="49">
        <f>IF(Source!BS31&lt;&gt; 0, Source!BS31, 1)</f>
        <v>20.74</v>
      </c>
      <c r="K52" s="62">
        <f>Source!R31</f>
        <v>5737.91</v>
      </c>
      <c r="L52" s="51"/>
      <c r="R52">
        <f>H52</f>
        <v>276.66000000000003</v>
      </c>
    </row>
    <row r="53" spans="1:26" ht="14.25" x14ac:dyDescent="0.2">
      <c r="A53" s="67"/>
      <c r="B53" s="68"/>
      <c r="C53" s="68" t="s">
        <v>237</v>
      </c>
      <c r="D53" s="47" t="s">
        <v>238</v>
      </c>
      <c r="E53" s="41">
        <f>Source!DN31</f>
        <v>91</v>
      </c>
      <c r="F53" s="71"/>
      <c r="G53" s="49"/>
      <c r="H53" s="50">
        <f>SUM(S49:S55)</f>
        <v>480.37</v>
      </c>
      <c r="I53" s="52"/>
      <c r="J53" s="45">
        <f>Source!AT31</f>
        <v>73</v>
      </c>
      <c r="K53" s="50">
        <f>SUM(T49:T55)</f>
        <v>3803.48</v>
      </c>
      <c r="L53" s="51"/>
    </row>
    <row r="54" spans="1:26" ht="14.25" x14ac:dyDescent="0.2">
      <c r="A54" s="67"/>
      <c r="B54" s="68"/>
      <c r="C54" s="68" t="s">
        <v>239</v>
      </c>
      <c r="D54" s="47" t="s">
        <v>238</v>
      </c>
      <c r="E54" s="41">
        <f>Source!DO31</f>
        <v>70</v>
      </c>
      <c r="F54" s="71"/>
      <c r="G54" s="49"/>
      <c r="H54" s="50">
        <f>SUM(U49:U55)</f>
        <v>369.52</v>
      </c>
      <c r="I54" s="52"/>
      <c r="J54" s="45">
        <f>Source!AU31</f>
        <v>41</v>
      </c>
      <c r="K54" s="50">
        <f>SUM(V49:V55)</f>
        <v>2136.1999999999998</v>
      </c>
      <c r="L54" s="51"/>
    </row>
    <row r="55" spans="1:26" ht="14.25" x14ac:dyDescent="0.2">
      <c r="A55" s="69"/>
      <c r="B55" s="70"/>
      <c r="C55" s="70" t="s">
        <v>240</v>
      </c>
      <c r="D55" s="53" t="s">
        <v>241</v>
      </c>
      <c r="E55" s="54">
        <f>Source!AQ31</f>
        <v>1.1200000000000001</v>
      </c>
      <c r="F55" s="55"/>
      <c r="G55" s="56" t="str">
        <f>Source!DI31</f>
        <v/>
      </c>
      <c r="H55" s="57"/>
      <c r="I55" s="56"/>
      <c r="J55" s="56"/>
      <c r="K55" s="57"/>
      <c r="L55" s="58">
        <f>Source!U31</f>
        <v>21.107520000000001</v>
      </c>
    </row>
    <row r="56" spans="1:26" ht="15" x14ac:dyDescent="0.25">
      <c r="G56" s="59">
        <f>H50+H51+H53+H54</f>
        <v>2163.84</v>
      </c>
      <c r="H56" s="59"/>
      <c r="J56" s="59">
        <f>K50+K51+K53+K54</f>
        <v>18174.54</v>
      </c>
      <c r="K56" s="59"/>
      <c r="L56" s="60">
        <f>Source!U31</f>
        <v>21.107520000000001</v>
      </c>
      <c r="O56" s="36">
        <f>G56</f>
        <v>2163.84</v>
      </c>
      <c r="P56" s="36">
        <f>J56</f>
        <v>18174.54</v>
      </c>
      <c r="Q56" s="36">
        <f>L56</f>
        <v>21.107520000000001</v>
      </c>
      <c r="W56">
        <f>IF(Source!BI31&lt;=1,H50+H51+H53+H54, 0)</f>
        <v>2163.84</v>
      </c>
      <c r="X56">
        <f>IF(Source!BI31=2,H50+H51+H53+H54, 0)</f>
        <v>0</v>
      </c>
      <c r="Y56">
        <f>IF(Source!BI31=3,H50+H51+H53+H54, 0)</f>
        <v>0</v>
      </c>
      <c r="Z56">
        <f>IF(Source!BI31=4,H50+H51+H53+H54, 0)</f>
        <v>0</v>
      </c>
    </row>
    <row r="57" spans="1:26" ht="42.75" x14ac:dyDescent="0.2">
      <c r="A57" s="67" t="str">
        <f>Source!E32</f>
        <v>7</v>
      </c>
      <c r="B57" s="68" t="str">
        <f>Source!F32</f>
        <v>3.1-29-1</v>
      </c>
      <c r="C57" s="68" t="str">
        <f>Source!G32</f>
        <v>УПЛОТНЕНИЕ ГРУНТА ПНЕВМАТИЧЕСКИМИ ТРАМБОВКАМИ ГРУППА ГРУНТОВ 1,2</v>
      </c>
      <c r="D57" s="47" t="str">
        <f>Source!H32</f>
        <v>100 м3</v>
      </c>
      <c r="E57" s="41">
        <f>Source!I32</f>
        <v>1.8765000000000001</v>
      </c>
      <c r="F57" s="48">
        <f>Source!AL32+Source!AM32+Source!AO32</f>
        <v>764.71</v>
      </c>
      <c r="G57" s="49"/>
      <c r="H57" s="50"/>
      <c r="I57" s="49" t="str">
        <f>Source!BO32</f>
        <v>3.1-29-1</v>
      </c>
      <c r="J57" s="49"/>
      <c r="K57" s="50"/>
      <c r="L57" s="51"/>
      <c r="S57">
        <f>ROUND((Source!FX32/100)*((ROUND((Source!AF32*Source!AV32)*Source!I32, 2)+ROUND((Source!AE32*Source!AV32)*Source!I32, 2))), 2)</f>
        <v>699.07</v>
      </c>
      <c r="T57">
        <f>Source!X32</f>
        <v>5205.24</v>
      </c>
      <c r="U57">
        <f>ROUND((Source!FY32/100)*((ROUND((Source!AF32*Source!AV32)*Source!I32, 2)+ROUND((Source!AE32*Source!AV32)*Source!I32, 2))), 2)</f>
        <v>549.27</v>
      </c>
      <c r="V57">
        <f>Source!Y32</f>
        <v>2828.94</v>
      </c>
    </row>
    <row r="58" spans="1:26" x14ac:dyDescent="0.2">
      <c r="C58" s="35" t="str">
        <f>"Объем: "&amp;Source!I32&amp;"=187,65/"&amp;"100"</f>
        <v>Объем: 1,8765=187,65/100</v>
      </c>
    </row>
    <row r="59" spans="1:26" ht="14.25" x14ac:dyDescent="0.2">
      <c r="A59" s="67"/>
      <c r="B59" s="68"/>
      <c r="C59" s="68" t="s">
        <v>236</v>
      </c>
      <c r="D59" s="47"/>
      <c r="E59" s="41"/>
      <c r="F59" s="48">
        <f>Source!AO32</f>
        <v>120.74</v>
      </c>
      <c r="G59" s="49" t="str">
        <f>Source!DG32</f>
        <v>)*1,15</v>
      </c>
      <c r="H59" s="50">
        <f>ROUND((Source!AF32*Source!AV32)*Source!I32, 2)</f>
        <v>272.8</v>
      </c>
      <c r="I59" s="49"/>
      <c r="J59" s="49">
        <f>IF(Source!BA32&lt;&gt; 0, Source!BA32, 1)</f>
        <v>20.74</v>
      </c>
      <c r="K59" s="50">
        <f>Source!S32</f>
        <v>5657.87</v>
      </c>
      <c r="L59" s="51"/>
      <c r="R59">
        <f>H59</f>
        <v>272.8</v>
      </c>
    </row>
    <row r="60" spans="1:26" ht="14.25" x14ac:dyDescent="0.2">
      <c r="A60" s="67"/>
      <c r="B60" s="68"/>
      <c r="C60" s="68" t="s">
        <v>94</v>
      </c>
      <c r="D60" s="47"/>
      <c r="E60" s="41"/>
      <c r="F60" s="48">
        <f>Source!AM32</f>
        <v>643.97</v>
      </c>
      <c r="G60" s="49" t="str">
        <f>Source!DE32</f>
        <v>)*1,15</v>
      </c>
      <c r="H60" s="50">
        <f>ROUND((Source!AD32*Source!AV32)*Source!I32, 2)</f>
        <v>1454.99</v>
      </c>
      <c r="I60" s="49"/>
      <c r="J60" s="49">
        <f>IF(Source!BB32&lt;&gt; 0, Source!BB32, 1)</f>
        <v>10.94</v>
      </c>
      <c r="K60" s="50">
        <f>Source!Q32</f>
        <v>15917.54</v>
      </c>
      <c r="L60" s="51"/>
    </row>
    <row r="61" spans="1:26" ht="14.25" x14ac:dyDescent="0.2">
      <c r="A61" s="67"/>
      <c r="B61" s="68"/>
      <c r="C61" s="68" t="s">
        <v>242</v>
      </c>
      <c r="D61" s="47"/>
      <c r="E61" s="41"/>
      <c r="F61" s="48">
        <f>Source!AN32</f>
        <v>194.98</v>
      </c>
      <c r="G61" s="49" t="str">
        <f>Source!DF32</f>
        <v>)*1,15</v>
      </c>
      <c r="H61" s="62">
        <f>ROUND((Source!AE32*Source!AV32)*Source!I32, 2)</f>
        <v>440.54</v>
      </c>
      <c r="I61" s="49"/>
      <c r="J61" s="49">
        <f>IF(Source!BS32&lt;&gt; 0, Source!BS32, 1)</f>
        <v>20.74</v>
      </c>
      <c r="K61" s="62">
        <f>Source!R32</f>
        <v>9136.75</v>
      </c>
      <c r="L61" s="51"/>
      <c r="R61">
        <f>H61</f>
        <v>440.54</v>
      </c>
    </row>
    <row r="62" spans="1:26" ht="14.25" x14ac:dyDescent="0.2">
      <c r="A62" s="67"/>
      <c r="B62" s="68"/>
      <c r="C62" s="68" t="s">
        <v>237</v>
      </c>
      <c r="D62" s="47" t="s">
        <v>238</v>
      </c>
      <c r="E62" s="41">
        <f>Source!DN32</f>
        <v>98</v>
      </c>
      <c r="F62" s="71"/>
      <c r="G62" s="49"/>
      <c r="H62" s="50">
        <f>SUM(S57:S64)</f>
        <v>699.07</v>
      </c>
      <c r="I62" s="52"/>
      <c r="J62" s="45">
        <f>Source!AT32</f>
        <v>92</v>
      </c>
      <c r="K62" s="50">
        <f>SUM(T57:T64)</f>
        <v>5205.24</v>
      </c>
      <c r="L62" s="51"/>
    </row>
    <row r="63" spans="1:26" ht="14.25" x14ac:dyDescent="0.2">
      <c r="A63" s="67"/>
      <c r="B63" s="68"/>
      <c r="C63" s="68" t="s">
        <v>239</v>
      </c>
      <c r="D63" s="47" t="s">
        <v>238</v>
      </c>
      <c r="E63" s="41">
        <f>Source!DO32</f>
        <v>77</v>
      </c>
      <c r="F63" s="71"/>
      <c r="G63" s="49"/>
      <c r="H63" s="50">
        <f>SUM(U57:U64)</f>
        <v>549.27</v>
      </c>
      <c r="I63" s="52"/>
      <c r="J63" s="45">
        <f>Source!AU32</f>
        <v>50</v>
      </c>
      <c r="K63" s="50">
        <f>SUM(V57:V64)</f>
        <v>2828.94</v>
      </c>
      <c r="L63" s="51"/>
    </row>
    <row r="64" spans="1:26" ht="14.25" x14ac:dyDescent="0.2">
      <c r="A64" s="69"/>
      <c r="B64" s="70"/>
      <c r="C64" s="70" t="s">
        <v>240</v>
      </c>
      <c r="D64" s="53" t="s">
        <v>241</v>
      </c>
      <c r="E64" s="54">
        <f>Source!AQ32</f>
        <v>10.8</v>
      </c>
      <c r="F64" s="55"/>
      <c r="G64" s="56" t="str">
        <f>Source!DI32</f>
        <v>)*1,15</v>
      </c>
      <c r="H64" s="57"/>
      <c r="I64" s="56"/>
      <c r="J64" s="56"/>
      <c r="K64" s="57"/>
      <c r="L64" s="58">
        <f>Source!U32</f>
        <v>24.401518109999998</v>
      </c>
    </row>
    <row r="65" spans="1:26" ht="15" x14ac:dyDescent="0.25">
      <c r="G65" s="59">
        <f>H59+H60+H62+H63</f>
        <v>2976.13</v>
      </c>
      <c r="H65" s="59"/>
      <c r="J65" s="59">
        <f>K59+K60+K62+K63</f>
        <v>29609.59</v>
      </c>
      <c r="K65" s="59"/>
      <c r="L65" s="60">
        <f>Source!U32</f>
        <v>24.401518109999998</v>
      </c>
      <c r="O65" s="36">
        <f>G65</f>
        <v>2976.13</v>
      </c>
      <c r="P65" s="36">
        <f>J65</f>
        <v>29609.59</v>
      </c>
      <c r="Q65" s="36">
        <f>L65</f>
        <v>24.401518109999998</v>
      </c>
      <c r="W65">
        <f>IF(Source!BI32&lt;=1,H59+H60+H62+H63, 0)</f>
        <v>2976.13</v>
      </c>
      <c r="X65">
        <f>IF(Source!BI32=2,H59+H60+H62+H63, 0)</f>
        <v>0</v>
      </c>
      <c r="Y65">
        <f>IF(Source!BI32=3,H59+H60+H62+H63, 0)</f>
        <v>0</v>
      </c>
      <c r="Z65">
        <f>IF(Source!BI32=4,H59+H60+H62+H63, 0)</f>
        <v>0</v>
      </c>
    </row>
    <row r="66" spans="1:26" ht="42.75" x14ac:dyDescent="0.2">
      <c r="A66" s="67" t="str">
        <f>Source!E33</f>
        <v>8</v>
      </c>
      <c r="B66" s="68" t="str">
        <f>Source!F33</f>
        <v>6.51-6-1</v>
      </c>
      <c r="C66" s="68" t="str">
        <f>Source!G33</f>
        <v>ПОГРУЗКА ГРУНТА ВРУЧНУЮ В АВТОМОБИЛИ-САМОСВАЛЫ С ВЫГРУЗКОЙ</v>
      </c>
      <c r="D66" s="47" t="str">
        <f>Source!H33</f>
        <v>100 м3</v>
      </c>
      <c r="E66" s="41">
        <f>Source!I33</f>
        <v>0.08</v>
      </c>
      <c r="F66" s="48">
        <f>Source!AL33+Source!AM33+Source!AO33</f>
        <v>795.14</v>
      </c>
      <c r="G66" s="49"/>
      <c r="H66" s="50"/>
      <c r="I66" s="49" t="str">
        <f>Source!BO33</f>
        <v>6.51-6-1</v>
      </c>
      <c r="J66" s="49"/>
      <c r="K66" s="50"/>
      <c r="L66" s="51"/>
      <c r="S66">
        <f>ROUND((Source!FX33/100)*((ROUND((Source!AF33*Source!AV33)*Source!I33, 2)+ROUND((Source!AE33*Source!AV33)*Source!I33, 2))), 2)</f>
        <v>72.239999999999995</v>
      </c>
      <c r="T66">
        <f>Source!X33</f>
        <v>1201.93</v>
      </c>
      <c r="U66">
        <f>ROUND((Source!FY33/100)*((ROUND((Source!AF33*Source!AV33)*Source!I33, 2)+ROUND((Source!AE33*Source!AV33)*Source!I33, 2))), 2)</f>
        <v>53.19</v>
      </c>
      <c r="V66">
        <f>Source!Y33</f>
        <v>675.06</v>
      </c>
    </row>
    <row r="67" spans="1:26" x14ac:dyDescent="0.2">
      <c r="C67" s="35" t="str">
        <f>"Объем: "&amp;Source!I33&amp;"=8/"&amp;"100"</f>
        <v>Объем: 0,08=8/100</v>
      </c>
    </row>
    <row r="68" spans="1:26" ht="14.25" x14ac:dyDescent="0.2">
      <c r="A68" s="67"/>
      <c r="B68" s="68"/>
      <c r="C68" s="68" t="s">
        <v>236</v>
      </c>
      <c r="D68" s="47"/>
      <c r="E68" s="41"/>
      <c r="F68" s="48">
        <f>Source!AO33</f>
        <v>795.14</v>
      </c>
      <c r="G68" s="49" t="str">
        <f>Source!DG33</f>
        <v/>
      </c>
      <c r="H68" s="50">
        <f>ROUND((Source!AF33*Source!AV33)*Source!I33, 2)</f>
        <v>79.39</v>
      </c>
      <c r="I68" s="49"/>
      <c r="J68" s="49">
        <f>IF(Source!BA33&lt;&gt; 0, Source!BA33, 1)</f>
        <v>20.74</v>
      </c>
      <c r="K68" s="50">
        <f>Source!S33</f>
        <v>1646.48</v>
      </c>
      <c r="L68" s="51"/>
      <c r="R68">
        <f>H68</f>
        <v>79.39</v>
      </c>
    </row>
    <row r="69" spans="1:26" ht="14.25" x14ac:dyDescent="0.2">
      <c r="A69" s="67"/>
      <c r="B69" s="68"/>
      <c r="C69" s="68" t="s">
        <v>237</v>
      </c>
      <c r="D69" s="47" t="s">
        <v>238</v>
      </c>
      <c r="E69" s="41">
        <f>Source!DN33</f>
        <v>91</v>
      </c>
      <c r="F69" s="71"/>
      <c r="G69" s="49"/>
      <c r="H69" s="50">
        <f>SUM(S66:S71)</f>
        <v>72.239999999999995</v>
      </c>
      <c r="I69" s="52"/>
      <c r="J69" s="45">
        <f>Source!AT33</f>
        <v>73</v>
      </c>
      <c r="K69" s="50">
        <f>SUM(T66:T71)</f>
        <v>1201.93</v>
      </c>
      <c r="L69" s="51"/>
    </row>
    <row r="70" spans="1:26" ht="14.25" x14ac:dyDescent="0.2">
      <c r="A70" s="67"/>
      <c r="B70" s="68"/>
      <c r="C70" s="68" t="s">
        <v>239</v>
      </c>
      <c r="D70" s="47" t="s">
        <v>238</v>
      </c>
      <c r="E70" s="41">
        <f>Source!DO33</f>
        <v>67</v>
      </c>
      <c r="F70" s="71"/>
      <c r="G70" s="49"/>
      <c r="H70" s="50">
        <f>SUM(U66:U71)</f>
        <v>53.19</v>
      </c>
      <c r="I70" s="52"/>
      <c r="J70" s="45">
        <f>Source!AU33</f>
        <v>41</v>
      </c>
      <c r="K70" s="50">
        <f>SUM(V66:V71)</f>
        <v>675.06</v>
      </c>
      <c r="L70" s="51"/>
    </row>
    <row r="71" spans="1:26" ht="14.25" x14ac:dyDescent="0.2">
      <c r="A71" s="69"/>
      <c r="B71" s="70"/>
      <c r="C71" s="70" t="s">
        <v>240</v>
      </c>
      <c r="D71" s="53" t="s">
        <v>241</v>
      </c>
      <c r="E71" s="54">
        <f>Source!AQ33</f>
        <v>83</v>
      </c>
      <c r="F71" s="55"/>
      <c r="G71" s="56" t="str">
        <f>Source!DI33</f>
        <v/>
      </c>
      <c r="H71" s="57"/>
      <c r="I71" s="56"/>
      <c r="J71" s="56"/>
      <c r="K71" s="57"/>
      <c r="L71" s="58">
        <f>Source!U33</f>
        <v>8.2867200000000008</v>
      </c>
    </row>
    <row r="72" spans="1:26" ht="15" x14ac:dyDescent="0.25">
      <c r="G72" s="59">
        <f>H68+H69+H70</f>
        <v>204.82</v>
      </c>
      <c r="H72" s="59"/>
      <c r="J72" s="59">
        <f>K68+K69+K70</f>
        <v>3523.47</v>
      </c>
      <c r="K72" s="59"/>
      <c r="L72" s="60">
        <f>Source!U33</f>
        <v>8.2867200000000008</v>
      </c>
      <c r="O72" s="36">
        <f>G72</f>
        <v>204.82</v>
      </c>
      <c r="P72" s="36">
        <f>J72</f>
        <v>3523.47</v>
      </c>
      <c r="Q72" s="36">
        <f>L72</f>
        <v>8.2867200000000008</v>
      </c>
      <c r="W72">
        <f>IF(Source!BI33&lt;=1,H68+H69+H70, 0)</f>
        <v>204.82</v>
      </c>
      <c r="X72">
        <f>IF(Source!BI33=2,H68+H69+H70, 0)</f>
        <v>0</v>
      </c>
      <c r="Y72">
        <f>IF(Source!BI33=3,H68+H69+H70, 0)</f>
        <v>0</v>
      </c>
      <c r="Z72">
        <f>IF(Source!BI33=4,H68+H69+H70, 0)</f>
        <v>0</v>
      </c>
    </row>
    <row r="73" spans="1:26" ht="71.25" x14ac:dyDescent="0.2">
      <c r="A73" s="67" t="str">
        <f>Source!E34</f>
        <v>9</v>
      </c>
      <c r="B73" s="68" t="str">
        <f>Source!F34</f>
        <v>15.1-9-6</v>
      </c>
      <c r="C73" s="68" t="str">
        <f>Source!G34</f>
        <v>ПЕРЕВОЗКА СТРОИТЕЛЬНОГО МУСОРА НА РАССТОЯНИЕ 9 КМ АВТОСАМОСВАЛАМИ ГРУЗОПОДЪЕМНОСТЬЮ БОЛЕЕ 16 Т, ПЕРЕВОЗКА ДО 9 КМ</v>
      </c>
      <c r="D73" s="47" t="str">
        <f>Source!H34</f>
        <v>т</v>
      </c>
      <c r="E73" s="41">
        <f>Source!I34</f>
        <v>18</v>
      </c>
      <c r="F73" s="48">
        <f>Source!AL34+Source!AM34+Source!AO34</f>
        <v>24.3</v>
      </c>
      <c r="G73" s="49"/>
      <c r="H73" s="50"/>
      <c r="I73" s="49" t="str">
        <f>Source!BO34</f>
        <v>15.1-9-6</v>
      </c>
      <c r="J73" s="49"/>
      <c r="K73" s="50"/>
      <c r="L73" s="51"/>
      <c r="S73">
        <f>ROUND((Source!FX34/100)*((ROUND((Source!AF34*Source!AV34)*Source!I34, 2)+ROUND((Source!AE34*Source!AV34)*Source!I34, 2))), 2)</f>
        <v>0</v>
      </c>
      <c r="T73">
        <f>Source!X34</f>
        <v>0</v>
      </c>
      <c r="U73">
        <f>ROUND((Source!FY34/100)*((ROUND((Source!AF34*Source!AV34)*Source!I34, 2)+ROUND((Source!AE34*Source!AV34)*Source!I34, 2))), 2)</f>
        <v>0</v>
      </c>
      <c r="V73">
        <f>Source!Y34</f>
        <v>0</v>
      </c>
    </row>
    <row r="74" spans="1:26" ht="14.25" x14ac:dyDescent="0.2">
      <c r="A74" s="69"/>
      <c r="B74" s="70"/>
      <c r="C74" s="70" t="s">
        <v>94</v>
      </c>
      <c r="D74" s="53"/>
      <c r="E74" s="54"/>
      <c r="F74" s="55">
        <f>Source!AM34</f>
        <v>24.3</v>
      </c>
      <c r="G74" s="56" t="str">
        <f>Source!DE34</f>
        <v/>
      </c>
      <c r="H74" s="57">
        <f>ROUND((Source!AD34*Source!AV34)*Source!I34, 2)</f>
        <v>437.4</v>
      </c>
      <c r="I74" s="56"/>
      <c r="J74" s="56">
        <f>IF(Source!BB34&lt;&gt; 0, Source!BB34, 1)</f>
        <v>7.67</v>
      </c>
      <c r="K74" s="57">
        <f>Source!Q34</f>
        <v>3354.86</v>
      </c>
      <c r="L74" s="61"/>
    </row>
    <row r="75" spans="1:26" ht="15" x14ac:dyDescent="0.25">
      <c r="G75" s="59">
        <f>H74</f>
        <v>437.4</v>
      </c>
      <c r="H75" s="59"/>
      <c r="J75" s="59">
        <f>K74</f>
        <v>3354.86</v>
      </c>
      <c r="K75" s="59"/>
      <c r="L75" s="60">
        <f>Source!U34</f>
        <v>0</v>
      </c>
      <c r="O75" s="36">
        <f>G75</f>
        <v>437.4</v>
      </c>
      <c r="P75" s="36">
        <f>J75</f>
        <v>3354.86</v>
      </c>
      <c r="Q75" s="36">
        <f>L75</f>
        <v>0</v>
      </c>
      <c r="W75">
        <f>IF(Source!BI34&lt;=1,H74, 0)</f>
        <v>0</v>
      </c>
      <c r="X75">
        <f>IF(Source!BI34=2,H74, 0)</f>
        <v>0</v>
      </c>
      <c r="Y75">
        <f>IF(Source!BI34=3,H74, 0)</f>
        <v>0</v>
      </c>
      <c r="Z75">
        <f>IF(Source!BI34=4,H74, 0)</f>
        <v>437.4</v>
      </c>
    </row>
    <row r="76" spans="1:26" ht="85.5" x14ac:dyDescent="0.2">
      <c r="A76" s="67" t="str">
        <f>Source!E35</f>
        <v>10</v>
      </c>
      <c r="B76" s="68" t="str">
        <f>Source!F35</f>
        <v>15.1-9-2</v>
      </c>
      <c r="C76" s="68" t="str">
        <f>Source!G35</f>
        <v>ПЕРЕВОЗКА ГРУНТА ИЗ-ПОД ЗДАНИЙ И КОММУНИКАЦИЙ НА РАССТОЯНИЕ 9 КМ АВТОСАМОСВАЛАМИ ГРУЗОПОДЪЕМНОСТЬЮ БОЛЕЕ 16Т, ПЕРЕВОЗКА ДО 9 КМ</v>
      </c>
      <c r="D76" s="47" t="str">
        <f>Source!H35</f>
        <v>м3</v>
      </c>
      <c r="E76" s="41">
        <f>Source!I35</f>
        <v>8</v>
      </c>
      <c r="F76" s="48">
        <f>Source!AL35+Source!AM35+Source!AO35</f>
        <v>32.5</v>
      </c>
      <c r="G76" s="49"/>
      <c r="H76" s="50"/>
      <c r="I76" s="49" t="str">
        <f>Source!BO35</f>
        <v>15.1-9-2</v>
      </c>
      <c r="J76" s="49"/>
      <c r="K76" s="50"/>
      <c r="L76" s="51"/>
      <c r="S76">
        <f>ROUND((Source!FX35/100)*((ROUND((Source!AF35*Source!AV35)*Source!I35, 2)+ROUND((Source!AE35*Source!AV35)*Source!I35, 2))), 2)</f>
        <v>0</v>
      </c>
      <c r="T76">
        <f>Source!X35</f>
        <v>0</v>
      </c>
      <c r="U76">
        <f>ROUND((Source!FY35/100)*((ROUND((Source!AF35*Source!AV35)*Source!I35, 2)+ROUND((Source!AE35*Source!AV35)*Source!I35, 2))), 2)</f>
        <v>0</v>
      </c>
      <c r="V76">
        <f>Source!Y35</f>
        <v>0</v>
      </c>
    </row>
    <row r="77" spans="1:26" ht="14.25" x14ac:dyDescent="0.2">
      <c r="A77" s="69"/>
      <c r="B77" s="70"/>
      <c r="C77" s="70" t="s">
        <v>94</v>
      </c>
      <c r="D77" s="53"/>
      <c r="E77" s="54"/>
      <c r="F77" s="55">
        <f>Source!AM35</f>
        <v>32.5</v>
      </c>
      <c r="G77" s="56" t="str">
        <f>Source!DE35</f>
        <v/>
      </c>
      <c r="H77" s="57">
        <f>ROUND((Source!AD35*Source!AV35)*Source!I35, 2)</f>
        <v>260</v>
      </c>
      <c r="I77" s="56"/>
      <c r="J77" s="56">
        <f>IF(Source!BB35&lt;&gt; 0, Source!BB35, 1)</f>
        <v>8.98</v>
      </c>
      <c r="K77" s="57">
        <f>Source!Q35</f>
        <v>2334.8000000000002</v>
      </c>
      <c r="L77" s="61"/>
    </row>
    <row r="78" spans="1:26" ht="15" x14ac:dyDescent="0.25">
      <c r="G78" s="59">
        <f>H77</f>
        <v>260</v>
      </c>
      <c r="H78" s="59"/>
      <c r="J78" s="59">
        <f>K77</f>
        <v>2334.8000000000002</v>
      </c>
      <c r="K78" s="59"/>
      <c r="L78" s="60">
        <f>Source!U35</f>
        <v>0</v>
      </c>
      <c r="O78" s="36">
        <f>G78</f>
        <v>260</v>
      </c>
      <c r="P78" s="36">
        <f>J78</f>
        <v>2334.8000000000002</v>
      </c>
      <c r="Q78" s="36">
        <f>L78</f>
        <v>0</v>
      </c>
      <c r="W78">
        <f>IF(Source!BI35&lt;=1,H77, 0)</f>
        <v>0</v>
      </c>
      <c r="X78">
        <f>IF(Source!BI35=2,H77, 0)</f>
        <v>0</v>
      </c>
      <c r="Y78">
        <f>IF(Source!BI35=3,H77, 0)</f>
        <v>0</v>
      </c>
      <c r="Z78">
        <f>IF(Source!BI35=4,H77, 0)</f>
        <v>260</v>
      </c>
    </row>
    <row r="80" spans="1:26" ht="15" x14ac:dyDescent="0.25">
      <c r="A80" s="46" t="str">
        <f>CONCATENATE("Итого по разделу: ",IF(Source!G37&lt;&gt;"Новый раздел", Source!G37, ""))</f>
        <v>Итого по разделу: Общестроительные работы</v>
      </c>
      <c r="B80" s="46"/>
      <c r="C80" s="46"/>
      <c r="D80" s="46"/>
      <c r="E80" s="46"/>
      <c r="F80" s="46"/>
      <c r="G80" s="63">
        <f>SUM(O32:O79)</f>
        <v>40036.15</v>
      </c>
      <c r="H80" s="63"/>
      <c r="I80" s="43"/>
      <c r="J80" s="63">
        <f>SUM(P32:P79)</f>
        <v>549646.27</v>
      </c>
      <c r="K80" s="63"/>
      <c r="L80" s="60">
        <f>SUM(Q32:Q79)</f>
        <v>935.63304233400004</v>
      </c>
    </row>
    <row r="84" spans="1:26" ht="16.5" x14ac:dyDescent="0.25">
      <c r="A84" s="44" t="str">
        <f>CONCATENATE("Раздел: ",IF(Source!G66&lt;&gt;"Новый раздел", Source!G66, ""))</f>
        <v>Раздел: Монтажные работы</v>
      </c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</row>
    <row r="85" spans="1:26" ht="28.5" x14ac:dyDescent="0.2">
      <c r="A85" s="67" t="str">
        <f>Source!E70</f>
        <v>1</v>
      </c>
      <c r="B85" s="68" t="str">
        <f>Source!F70</f>
        <v>4.8-74-1</v>
      </c>
      <c r="C85" s="68" t="str">
        <f>Source!G70</f>
        <v>УСТРОЙСТВО ПОСТЕЛИ: ПРИ ОДНОМ КАБЕЛЕ В ТРАНШЕЕ</v>
      </c>
      <c r="D85" s="47" t="str">
        <f>Source!H70</f>
        <v>100 м</v>
      </c>
      <c r="E85" s="41">
        <f>Source!I70</f>
        <v>4.17</v>
      </c>
      <c r="F85" s="48">
        <f>Source!AL70+Source!AM70+Source!AO70</f>
        <v>462.42999999999995</v>
      </c>
      <c r="G85" s="49"/>
      <c r="H85" s="50"/>
      <c r="I85" s="49" t="str">
        <f>Source!BO70</f>
        <v>4.8-74-1</v>
      </c>
      <c r="J85" s="49"/>
      <c r="K85" s="50"/>
      <c r="L85" s="51"/>
      <c r="S85">
        <f>ROUND((Source!FX70/100)*((ROUND((Source!AF70*Source!AV70)*Source!I70, 2)+ROUND((Source!AE70*Source!AV70)*Source!I70, 2))), 2)</f>
        <v>944.55</v>
      </c>
      <c r="T85">
        <f>Source!X70</f>
        <v>7160.4</v>
      </c>
      <c r="U85">
        <f>ROUND((Source!FY70/100)*((ROUND((Source!AF70*Source!AV70)*Source!I70, 2)+ROUND((Source!AE70*Source!AV70)*Source!I70, 2))), 2)</f>
        <v>590.35</v>
      </c>
      <c r="V85">
        <f>Source!Y70</f>
        <v>3421.08</v>
      </c>
    </row>
    <row r="86" spans="1:26" x14ac:dyDescent="0.2">
      <c r="C86" s="35" t="str">
        <f>"Объем: "&amp;Source!I70&amp;"=417/"&amp;"100"</f>
        <v>Объем: 4,17=417/100</v>
      </c>
    </row>
    <row r="87" spans="1:26" ht="14.25" x14ac:dyDescent="0.2">
      <c r="A87" s="67"/>
      <c r="B87" s="68"/>
      <c r="C87" s="68" t="s">
        <v>236</v>
      </c>
      <c r="D87" s="47"/>
      <c r="E87" s="41"/>
      <c r="F87" s="48">
        <f>Source!AO70</f>
        <v>74.97</v>
      </c>
      <c r="G87" s="49" t="str">
        <f>Source!DG70</f>
        <v>)*1,15</v>
      </c>
      <c r="H87" s="50">
        <f>ROUND((Source!AF70*Source!AV70)*Source!I70, 2)</f>
        <v>383.61</v>
      </c>
      <c r="I87" s="49"/>
      <c r="J87" s="49">
        <f>IF(Source!BA70&lt;&gt; 0, Source!BA70, 1)</f>
        <v>20.74</v>
      </c>
      <c r="K87" s="50">
        <f>Source!S70</f>
        <v>7956</v>
      </c>
      <c r="L87" s="51"/>
      <c r="R87">
        <f>H87</f>
        <v>383.61</v>
      </c>
    </row>
    <row r="88" spans="1:26" ht="14.25" x14ac:dyDescent="0.2">
      <c r="A88" s="67"/>
      <c r="B88" s="68"/>
      <c r="C88" s="68" t="s">
        <v>94</v>
      </c>
      <c r="D88" s="47"/>
      <c r="E88" s="41"/>
      <c r="F88" s="48">
        <f>Source!AM70</f>
        <v>386.9</v>
      </c>
      <c r="G88" s="49" t="str">
        <f>Source!DE70</f>
        <v>)*1,15</v>
      </c>
      <c r="H88" s="50">
        <f>ROUND((Source!AD70*Source!AV70)*Source!I70, 2)</f>
        <v>1979.69</v>
      </c>
      <c r="I88" s="49"/>
      <c r="J88" s="49">
        <f>IF(Source!BB70&lt;&gt; 0, Source!BB70, 1)</f>
        <v>7.57</v>
      </c>
      <c r="K88" s="50">
        <f>Source!Q70</f>
        <v>14986.25</v>
      </c>
      <c r="L88" s="51"/>
    </row>
    <row r="89" spans="1:26" ht="14.25" x14ac:dyDescent="0.2">
      <c r="A89" s="67"/>
      <c r="B89" s="68"/>
      <c r="C89" s="68" t="s">
        <v>242</v>
      </c>
      <c r="D89" s="47"/>
      <c r="E89" s="41"/>
      <c r="F89" s="48">
        <f>Source!AN70</f>
        <v>89.85</v>
      </c>
      <c r="G89" s="49" t="str">
        <f>Source!DF70</f>
        <v>)*1,15</v>
      </c>
      <c r="H89" s="62">
        <f>ROUND((Source!AE70*Source!AV70)*Source!I70, 2)</f>
        <v>459.74</v>
      </c>
      <c r="I89" s="49"/>
      <c r="J89" s="49">
        <f>IF(Source!BS70&lt;&gt; 0, Source!BS70, 1)</f>
        <v>20.74</v>
      </c>
      <c r="K89" s="62">
        <f>Source!R70</f>
        <v>9535.1</v>
      </c>
      <c r="L89" s="51"/>
      <c r="R89">
        <f>H89</f>
        <v>459.74</v>
      </c>
    </row>
    <row r="90" spans="1:26" ht="14.25" x14ac:dyDescent="0.2">
      <c r="A90" s="67"/>
      <c r="B90" s="68"/>
      <c r="C90" s="68" t="s">
        <v>243</v>
      </c>
      <c r="D90" s="47"/>
      <c r="E90" s="41"/>
      <c r="F90" s="48">
        <f>Source!AL70</f>
        <v>0.56000000000000005</v>
      </c>
      <c r="G90" s="49" t="str">
        <f>Source!DD70</f>
        <v/>
      </c>
      <c r="H90" s="50">
        <f>ROUND((Source!AC70*Source!AW70)*Source!I70, 2)</f>
        <v>2.52</v>
      </c>
      <c r="I90" s="49"/>
      <c r="J90" s="49">
        <f>IF(Source!BC70&lt;&gt; 0, Source!BC70, 1)</f>
        <v>5.0199999999999996</v>
      </c>
      <c r="K90" s="50">
        <f>Source!P70</f>
        <v>12.67</v>
      </c>
      <c r="L90" s="51"/>
    </row>
    <row r="91" spans="1:26" ht="14.25" x14ac:dyDescent="0.2">
      <c r="A91" s="67"/>
      <c r="B91" s="68"/>
      <c r="C91" s="68" t="s">
        <v>237</v>
      </c>
      <c r="D91" s="47" t="s">
        <v>238</v>
      </c>
      <c r="E91" s="41">
        <f>Source!DN70</f>
        <v>112</v>
      </c>
      <c r="F91" s="71"/>
      <c r="G91" s="49"/>
      <c r="H91" s="50">
        <f>SUM(S85:S93)</f>
        <v>944.55</v>
      </c>
      <c r="I91" s="52"/>
      <c r="J91" s="45">
        <f>Source!AT70</f>
        <v>90</v>
      </c>
      <c r="K91" s="50">
        <f>SUM(T85:T93)</f>
        <v>7160.4</v>
      </c>
      <c r="L91" s="51"/>
    </row>
    <row r="92" spans="1:26" ht="14.25" x14ac:dyDescent="0.2">
      <c r="A92" s="67"/>
      <c r="B92" s="68"/>
      <c r="C92" s="68" t="s">
        <v>239</v>
      </c>
      <c r="D92" s="47" t="s">
        <v>238</v>
      </c>
      <c r="E92" s="41">
        <f>Source!DO70</f>
        <v>70</v>
      </c>
      <c r="F92" s="71"/>
      <c r="G92" s="49"/>
      <c r="H92" s="50">
        <f>SUM(U85:U93)</f>
        <v>590.35</v>
      </c>
      <c r="I92" s="52"/>
      <c r="J92" s="45">
        <f>Source!AU70</f>
        <v>43</v>
      </c>
      <c r="K92" s="50">
        <f>SUM(V85:V93)</f>
        <v>3421.08</v>
      </c>
      <c r="L92" s="51"/>
    </row>
    <row r="93" spans="1:26" ht="14.25" x14ac:dyDescent="0.2">
      <c r="A93" s="69"/>
      <c r="B93" s="70"/>
      <c r="C93" s="70" t="s">
        <v>240</v>
      </c>
      <c r="D93" s="53" t="s">
        <v>241</v>
      </c>
      <c r="E93" s="54">
        <f>Source!AQ70</f>
        <v>6.08</v>
      </c>
      <c r="F93" s="55"/>
      <c r="G93" s="56" t="str">
        <f>Source!DI70</f>
        <v>)*1,15</v>
      </c>
      <c r="H93" s="57"/>
      <c r="I93" s="56"/>
      <c r="J93" s="56"/>
      <c r="K93" s="57"/>
      <c r="L93" s="58">
        <f>Source!U70</f>
        <v>31.110134879999997</v>
      </c>
    </row>
    <row r="94" spans="1:26" ht="15" x14ac:dyDescent="0.25">
      <c r="G94" s="59">
        <f>H87+H88+H90+H91+H92</f>
        <v>3900.72</v>
      </c>
      <c r="H94" s="59"/>
      <c r="J94" s="59">
        <f>K87+K88+K90+K91+K92</f>
        <v>33536.400000000001</v>
      </c>
      <c r="K94" s="59"/>
      <c r="L94" s="60">
        <f>Source!U70</f>
        <v>31.110134879999997</v>
      </c>
      <c r="O94" s="36">
        <f>G94</f>
        <v>3900.72</v>
      </c>
      <c r="P94" s="36">
        <f>J94</f>
        <v>33536.400000000001</v>
      </c>
      <c r="Q94" s="36">
        <f>L94</f>
        <v>31.110134879999997</v>
      </c>
      <c r="W94">
        <f>IF(Source!BI70&lt;=1,H87+H88+H90+H91+H92, 0)</f>
        <v>0</v>
      </c>
      <c r="X94">
        <f>IF(Source!BI70=2,H87+H88+H90+H91+H92, 0)</f>
        <v>3900.72</v>
      </c>
      <c r="Y94">
        <f>IF(Source!BI70=3,H87+H88+H90+H91+H92, 0)</f>
        <v>0</v>
      </c>
      <c r="Z94">
        <f>IF(Source!BI70=4,H87+H88+H90+H91+H92, 0)</f>
        <v>0</v>
      </c>
    </row>
    <row r="95" spans="1:26" ht="42.75" x14ac:dyDescent="0.2">
      <c r="A95" s="67" t="str">
        <f>Source!E71</f>
        <v>2</v>
      </c>
      <c r="B95" s="68" t="str">
        <f>Source!F71</f>
        <v>4.8-74-2</v>
      </c>
      <c r="C95" s="68" t="str">
        <f>Source!G71</f>
        <v>УСТРОЙСТВО ПОСТЕЛИ: НА КАЖДЫЙ ПОСЛЕДУЮЩИЙ КАБЕЛЬ ДОБАВЛЯТЬ К ПОЗ. 8-74-1</v>
      </c>
      <c r="D95" s="47" t="str">
        <f>Source!H71</f>
        <v>100 м</v>
      </c>
      <c r="E95" s="41">
        <f>Source!I71</f>
        <v>4.17</v>
      </c>
      <c r="F95" s="48">
        <f>Source!AL71+Source!AM71+Source!AO71</f>
        <v>139.22</v>
      </c>
      <c r="G95" s="49"/>
      <c r="H95" s="50"/>
      <c r="I95" s="49" t="str">
        <f>Source!BO71</f>
        <v>4.8-74-2</v>
      </c>
      <c r="J95" s="49"/>
      <c r="K95" s="50"/>
      <c r="L95" s="51"/>
      <c r="S95">
        <f>ROUND((Source!FX71/100)*((ROUND((Source!AF71*Source!AV71)*Source!I71, 2)+ROUND((Source!AE71*Source!AV71)*Source!I71, 2))), 2)</f>
        <v>308.66000000000003</v>
      </c>
      <c r="T95">
        <f>Source!X71</f>
        <v>2684.79</v>
      </c>
      <c r="U95">
        <f>ROUND((Source!FY71/100)*((ROUND((Source!AF71*Source!AV71)*Source!I71, 2)+ROUND((Source!AE71*Source!AV71)*Source!I71, 2))), 2)</f>
        <v>192.91</v>
      </c>
      <c r="V95">
        <f>Source!Y71</f>
        <v>1282.73</v>
      </c>
    </row>
    <row r="96" spans="1:26" x14ac:dyDescent="0.2">
      <c r="C96" s="35" t="str">
        <f>"Объем: "&amp;Source!I71&amp;"=417/"&amp;"100"</f>
        <v>Объем: 4,17=417/100</v>
      </c>
    </row>
    <row r="97" spans="1:26" ht="14.25" x14ac:dyDescent="0.2">
      <c r="A97" s="67"/>
      <c r="B97" s="68"/>
      <c r="C97" s="68" t="s">
        <v>236</v>
      </c>
      <c r="D97" s="47"/>
      <c r="E97" s="41"/>
      <c r="F97" s="48">
        <f>Source!AO71</f>
        <v>28.11</v>
      </c>
      <c r="G97" s="49" t="str">
        <f>Source!DG71</f>
        <v>)*1,15</v>
      </c>
      <c r="H97" s="50">
        <f>ROUND((Source!AF71*Source!AV71)*Source!I71, 2)</f>
        <v>143.83000000000001</v>
      </c>
      <c r="I97" s="49"/>
      <c r="J97" s="49">
        <f>IF(Source!BA71&lt;&gt; 0, Source!BA71, 1)</f>
        <v>20.74</v>
      </c>
      <c r="K97" s="50">
        <f>Source!S71</f>
        <v>2983.1</v>
      </c>
      <c r="L97" s="51"/>
      <c r="R97">
        <f>H97</f>
        <v>143.83000000000001</v>
      </c>
    </row>
    <row r="98" spans="1:26" ht="14.25" x14ac:dyDescent="0.2">
      <c r="A98" s="67"/>
      <c r="B98" s="68"/>
      <c r="C98" s="68" t="s">
        <v>94</v>
      </c>
      <c r="D98" s="47"/>
      <c r="E98" s="41"/>
      <c r="F98" s="48">
        <f>Source!AM71</f>
        <v>110.9</v>
      </c>
      <c r="G98" s="49" t="str">
        <f>Source!DE71</f>
        <v>)*1,15</v>
      </c>
      <c r="H98" s="50">
        <f>ROUND((Source!AD71*Source!AV71)*Source!I71, 2)</f>
        <v>567.45000000000005</v>
      </c>
      <c r="I98" s="49"/>
      <c r="J98" s="49">
        <f>IF(Source!BB71&lt;&gt; 0, Source!BB71, 1)</f>
        <v>7.57</v>
      </c>
      <c r="K98" s="50">
        <f>Source!Q71</f>
        <v>4295.62</v>
      </c>
      <c r="L98" s="51"/>
    </row>
    <row r="99" spans="1:26" ht="14.25" x14ac:dyDescent="0.2">
      <c r="A99" s="67"/>
      <c r="B99" s="68"/>
      <c r="C99" s="68" t="s">
        <v>242</v>
      </c>
      <c r="D99" s="47"/>
      <c r="E99" s="41"/>
      <c r="F99" s="48">
        <f>Source!AN71</f>
        <v>25.75</v>
      </c>
      <c r="G99" s="49" t="str">
        <f>Source!DF71</f>
        <v>)*1,15</v>
      </c>
      <c r="H99" s="62">
        <f>ROUND((Source!AE71*Source!AV71)*Source!I71, 2)</f>
        <v>131.76</v>
      </c>
      <c r="I99" s="49"/>
      <c r="J99" s="49">
        <f>IF(Source!BS71&lt;&gt; 0, Source!BS71, 1)</f>
        <v>20.74</v>
      </c>
      <c r="K99" s="62">
        <f>Source!R71</f>
        <v>2732.65</v>
      </c>
      <c r="L99" s="51"/>
      <c r="R99">
        <f>H99</f>
        <v>131.76</v>
      </c>
    </row>
    <row r="100" spans="1:26" ht="14.25" x14ac:dyDescent="0.2">
      <c r="A100" s="67"/>
      <c r="B100" s="68"/>
      <c r="C100" s="68" t="s">
        <v>243</v>
      </c>
      <c r="D100" s="47"/>
      <c r="E100" s="41"/>
      <c r="F100" s="48">
        <f>Source!AL71</f>
        <v>0.21</v>
      </c>
      <c r="G100" s="49" t="str">
        <f>Source!DD71</f>
        <v/>
      </c>
      <c r="H100" s="50">
        <f>ROUND((Source!AC71*Source!AW71)*Source!I71, 2)</f>
        <v>0.95</v>
      </c>
      <c r="I100" s="49"/>
      <c r="J100" s="49">
        <f>IF(Source!BC71&lt;&gt; 0, Source!BC71, 1)</f>
        <v>5.0199999999999996</v>
      </c>
      <c r="K100" s="50">
        <f>Source!P71</f>
        <v>4.75</v>
      </c>
      <c r="L100" s="51"/>
    </row>
    <row r="101" spans="1:26" ht="14.25" x14ac:dyDescent="0.2">
      <c r="A101" s="67"/>
      <c r="B101" s="68"/>
      <c r="C101" s="68" t="s">
        <v>237</v>
      </c>
      <c r="D101" s="47" t="s">
        <v>238</v>
      </c>
      <c r="E101" s="41">
        <f>Source!DN71</f>
        <v>112</v>
      </c>
      <c r="F101" s="71"/>
      <c r="G101" s="49"/>
      <c r="H101" s="50">
        <f>SUM(S95:S103)</f>
        <v>308.66000000000003</v>
      </c>
      <c r="I101" s="52"/>
      <c r="J101" s="45">
        <f>Source!AT71</f>
        <v>90</v>
      </c>
      <c r="K101" s="50">
        <f>SUM(T95:T103)</f>
        <v>2684.79</v>
      </c>
      <c r="L101" s="51"/>
    </row>
    <row r="102" spans="1:26" ht="14.25" x14ac:dyDescent="0.2">
      <c r="A102" s="67"/>
      <c r="B102" s="68"/>
      <c r="C102" s="68" t="s">
        <v>239</v>
      </c>
      <c r="D102" s="47" t="s">
        <v>238</v>
      </c>
      <c r="E102" s="41">
        <f>Source!DO71</f>
        <v>70</v>
      </c>
      <c r="F102" s="71"/>
      <c r="G102" s="49"/>
      <c r="H102" s="50">
        <f>SUM(U95:U103)</f>
        <v>192.91</v>
      </c>
      <c r="I102" s="52"/>
      <c r="J102" s="45">
        <f>Source!AU71</f>
        <v>43</v>
      </c>
      <c r="K102" s="50">
        <f>SUM(V95:V103)</f>
        <v>1282.73</v>
      </c>
      <c r="L102" s="51"/>
    </row>
    <row r="103" spans="1:26" ht="14.25" x14ac:dyDescent="0.2">
      <c r="A103" s="69"/>
      <c r="B103" s="70"/>
      <c r="C103" s="70" t="s">
        <v>240</v>
      </c>
      <c r="D103" s="53" t="s">
        <v>241</v>
      </c>
      <c r="E103" s="54">
        <f>Source!AQ71</f>
        <v>2.2799999999999998</v>
      </c>
      <c r="F103" s="55"/>
      <c r="G103" s="56" t="str">
        <f>Source!DI71</f>
        <v>)*1,15</v>
      </c>
      <c r="H103" s="57"/>
      <c r="I103" s="56"/>
      <c r="J103" s="56"/>
      <c r="K103" s="57"/>
      <c r="L103" s="58">
        <f>Source!U71</f>
        <v>11.666300579999996</v>
      </c>
    </row>
    <row r="104" spans="1:26" ht="15" x14ac:dyDescent="0.25">
      <c r="G104" s="59">
        <f>H97+H98+H100+H101+H102</f>
        <v>1213.8000000000002</v>
      </c>
      <c r="H104" s="59"/>
      <c r="J104" s="59">
        <f>K97+K98+K100+K101+K102</f>
        <v>11250.989999999998</v>
      </c>
      <c r="K104" s="59"/>
      <c r="L104" s="60">
        <f>Source!U71</f>
        <v>11.666300579999996</v>
      </c>
      <c r="O104" s="36">
        <f>G104</f>
        <v>1213.8000000000002</v>
      </c>
      <c r="P104" s="36">
        <f>J104</f>
        <v>11250.989999999998</v>
      </c>
      <c r="Q104" s="36">
        <f>L104</f>
        <v>11.666300579999996</v>
      </c>
      <c r="W104">
        <f>IF(Source!BI71&lt;=1,H97+H98+H100+H101+H102, 0)</f>
        <v>0</v>
      </c>
      <c r="X104">
        <f>IF(Source!BI71=2,H97+H98+H100+H101+H102, 0)</f>
        <v>1213.8000000000002</v>
      </c>
      <c r="Y104">
        <f>IF(Source!BI71=3,H97+H98+H100+H101+H102, 0)</f>
        <v>0</v>
      </c>
      <c r="Z104">
        <f>IF(Source!BI71=4,H97+H98+H100+H101+H102, 0)</f>
        <v>0</v>
      </c>
    </row>
    <row r="105" spans="1:26" ht="57" x14ac:dyDescent="0.2">
      <c r="A105" s="67" t="str">
        <f>Source!E72</f>
        <v>3</v>
      </c>
      <c r="B105" s="68" t="str">
        <f>Source!F72</f>
        <v>4.8-77-4</v>
      </c>
      <c r="C105" s="68" t="str">
        <f>Source!G72</f>
        <v>КАБЕЛИ ДО 35 КВ, ПРОКЛАДЫВАЕМЫЕ ПО ДНУ КАНАЛА БЕЗ КРЕПЛЕНИЙ, КАБЕЛЬ, МАССА 1 М: ДО 6 КГ</v>
      </c>
      <c r="D105" s="47" t="str">
        <f>Source!H72</f>
        <v>100 м</v>
      </c>
      <c r="E105" s="41">
        <f>Source!I72</f>
        <v>2</v>
      </c>
      <c r="F105" s="48">
        <f>Source!AL72+Source!AM72+Source!AO72</f>
        <v>562.25</v>
      </c>
      <c r="G105" s="49"/>
      <c r="H105" s="50"/>
      <c r="I105" s="49" t="str">
        <f>Source!BO72</f>
        <v>4.8-77-4</v>
      </c>
      <c r="J105" s="49"/>
      <c r="K105" s="50"/>
      <c r="L105" s="51"/>
      <c r="S105">
        <f>ROUND((Source!FX72/100)*((ROUND((Source!AF72*Source!AV72)*Source!I72, 2)+ROUND((Source!AE72*Source!AV72)*Source!I72, 2))), 2)</f>
        <v>565.58000000000004</v>
      </c>
      <c r="T105">
        <f>Source!X72</f>
        <v>6212.97</v>
      </c>
      <c r="U105">
        <f>ROUND((Source!FY72/100)*((ROUND((Source!AF72*Source!AV72)*Source!I72, 2)+ROUND((Source!AE72*Source!AV72)*Source!I72, 2))), 2)</f>
        <v>353.49</v>
      </c>
      <c r="V105">
        <f>Source!Y72</f>
        <v>2968.42</v>
      </c>
    </row>
    <row r="106" spans="1:26" x14ac:dyDescent="0.2">
      <c r="C106" s="35" t="str">
        <f>"Объем: "&amp;Source!I72&amp;"=200/"&amp;"100"</f>
        <v>Объем: 2=200/100</v>
      </c>
    </row>
    <row r="107" spans="1:26" ht="14.25" x14ac:dyDescent="0.2">
      <c r="A107" s="67"/>
      <c r="B107" s="68"/>
      <c r="C107" s="68" t="s">
        <v>236</v>
      </c>
      <c r="D107" s="47"/>
      <c r="E107" s="41"/>
      <c r="F107" s="48">
        <f>Source!AO72</f>
        <v>135.63</v>
      </c>
      <c r="G107" s="49" t="str">
        <f>Source!DG72</f>
        <v>)*1,15</v>
      </c>
      <c r="H107" s="50">
        <f>ROUND((Source!AF72*Source!AV72)*Source!I72, 2)</f>
        <v>332.85</v>
      </c>
      <c r="I107" s="49"/>
      <c r="J107" s="49">
        <f>IF(Source!BA72&lt;&gt; 0, Source!BA72, 1)</f>
        <v>20.74</v>
      </c>
      <c r="K107" s="50">
        <f>Source!S72</f>
        <v>6903.3</v>
      </c>
      <c r="L107" s="51"/>
      <c r="R107">
        <f>H107</f>
        <v>332.85</v>
      </c>
    </row>
    <row r="108" spans="1:26" ht="14.25" x14ac:dyDescent="0.2">
      <c r="A108" s="67"/>
      <c r="B108" s="68"/>
      <c r="C108" s="68" t="s">
        <v>94</v>
      </c>
      <c r="D108" s="47"/>
      <c r="E108" s="41"/>
      <c r="F108" s="48">
        <f>Source!AM72</f>
        <v>391.41</v>
      </c>
      <c r="G108" s="49" t="str">
        <f>Source!DE72</f>
        <v>)*1,15</v>
      </c>
      <c r="H108" s="50">
        <f>ROUND((Source!AD72*Source!AV72)*Source!I72, 2)</f>
        <v>960.56</v>
      </c>
      <c r="I108" s="49"/>
      <c r="J108" s="49">
        <f>IF(Source!BB72&lt;&gt; 0, Source!BB72, 1)</f>
        <v>5.62</v>
      </c>
      <c r="K108" s="50">
        <f>Source!Q72</f>
        <v>5398.34</v>
      </c>
      <c r="L108" s="51"/>
    </row>
    <row r="109" spans="1:26" ht="14.25" x14ac:dyDescent="0.2">
      <c r="A109" s="67"/>
      <c r="B109" s="68"/>
      <c r="C109" s="68" t="s">
        <v>242</v>
      </c>
      <c r="D109" s="47"/>
      <c r="E109" s="41"/>
      <c r="F109" s="48">
        <f>Source!AN72</f>
        <v>70.14</v>
      </c>
      <c r="G109" s="49" t="str">
        <f>Source!DF72</f>
        <v>)*1,15</v>
      </c>
      <c r="H109" s="62">
        <f>ROUND((Source!AE72*Source!AV72)*Source!I72, 2)</f>
        <v>172.13</v>
      </c>
      <c r="I109" s="49"/>
      <c r="J109" s="49">
        <f>IF(Source!BS72&lt;&gt; 0, Source!BS72, 1)</f>
        <v>20.74</v>
      </c>
      <c r="K109" s="62">
        <f>Source!R72</f>
        <v>3569.99</v>
      </c>
      <c r="L109" s="51"/>
      <c r="R109">
        <f>H109</f>
        <v>172.13</v>
      </c>
    </row>
    <row r="110" spans="1:26" ht="14.25" x14ac:dyDescent="0.2">
      <c r="A110" s="67"/>
      <c r="B110" s="68"/>
      <c r="C110" s="68" t="s">
        <v>243</v>
      </c>
      <c r="D110" s="47"/>
      <c r="E110" s="41"/>
      <c r="F110" s="48">
        <f>Source!AL72</f>
        <v>35.21</v>
      </c>
      <c r="G110" s="49" t="str">
        <f>Source!DD72</f>
        <v/>
      </c>
      <c r="H110" s="50">
        <f>ROUND((Source!AC72*Source!AW72)*Source!I72, 2)</f>
        <v>76.12</v>
      </c>
      <c r="I110" s="49"/>
      <c r="J110" s="49">
        <f>IF(Source!BC72&lt;&gt; 0, Source!BC72, 1)</f>
        <v>5.0199999999999996</v>
      </c>
      <c r="K110" s="50">
        <f>Source!P72</f>
        <v>382.14</v>
      </c>
      <c r="L110" s="51"/>
    </row>
    <row r="111" spans="1:26" ht="14.25" x14ac:dyDescent="0.2">
      <c r="A111" s="67"/>
      <c r="B111" s="68"/>
      <c r="C111" s="68" t="s">
        <v>237</v>
      </c>
      <c r="D111" s="47" t="s">
        <v>238</v>
      </c>
      <c r="E111" s="41">
        <f>Source!DN72</f>
        <v>112</v>
      </c>
      <c r="F111" s="71"/>
      <c r="G111" s="49"/>
      <c r="H111" s="50">
        <f>SUM(S105:S113)</f>
        <v>565.58000000000004</v>
      </c>
      <c r="I111" s="52"/>
      <c r="J111" s="45">
        <f>Source!AT72</f>
        <v>90</v>
      </c>
      <c r="K111" s="50">
        <f>SUM(T105:T113)</f>
        <v>6212.97</v>
      </c>
      <c r="L111" s="51"/>
    </row>
    <row r="112" spans="1:26" ht="14.25" x14ac:dyDescent="0.2">
      <c r="A112" s="67"/>
      <c r="B112" s="68"/>
      <c r="C112" s="68" t="s">
        <v>239</v>
      </c>
      <c r="D112" s="47" t="s">
        <v>238</v>
      </c>
      <c r="E112" s="41">
        <f>Source!DO72</f>
        <v>70</v>
      </c>
      <c r="F112" s="71"/>
      <c r="G112" s="49"/>
      <c r="H112" s="50">
        <f>SUM(U105:U113)</f>
        <v>353.49</v>
      </c>
      <c r="I112" s="52"/>
      <c r="J112" s="45">
        <f>Source!AU72</f>
        <v>43</v>
      </c>
      <c r="K112" s="50">
        <f>SUM(V105:V113)</f>
        <v>2968.42</v>
      </c>
      <c r="L112" s="51"/>
    </row>
    <row r="113" spans="1:26" ht="14.25" x14ac:dyDescent="0.2">
      <c r="A113" s="69"/>
      <c r="B113" s="70"/>
      <c r="C113" s="70" t="s">
        <v>240</v>
      </c>
      <c r="D113" s="53" t="s">
        <v>241</v>
      </c>
      <c r="E113" s="54">
        <f>Source!AQ72</f>
        <v>11</v>
      </c>
      <c r="F113" s="55"/>
      <c r="G113" s="56" t="str">
        <f>Source!DI72</f>
        <v>)*1,15</v>
      </c>
      <c r="H113" s="57"/>
      <c r="I113" s="56"/>
      <c r="J113" s="56"/>
      <c r="K113" s="57"/>
      <c r="L113" s="58">
        <f>Source!U72</f>
        <v>26.995099999999997</v>
      </c>
    </row>
    <row r="114" spans="1:26" ht="15" x14ac:dyDescent="0.25">
      <c r="G114" s="59">
        <f>H107+H108+H110+H111+H112</f>
        <v>2288.5999999999995</v>
      </c>
      <c r="H114" s="59"/>
      <c r="J114" s="59">
        <f>K107+K108+K110+K111+K112</f>
        <v>21865.17</v>
      </c>
      <c r="K114" s="59"/>
      <c r="L114" s="60">
        <f>Source!U72</f>
        <v>26.995099999999997</v>
      </c>
      <c r="O114" s="36">
        <f>G114</f>
        <v>2288.5999999999995</v>
      </c>
      <c r="P114" s="36">
        <f>J114</f>
        <v>21865.17</v>
      </c>
      <c r="Q114" s="36">
        <f>L114</f>
        <v>26.995099999999997</v>
      </c>
      <c r="W114">
        <f>IF(Source!BI72&lt;=1,H107+H108+H110+H111+H112, 0)</f>
        <v>0</v>
      </c>
      <c r="X114">
        <f>IF(Source!BI72=2,H107+H108+H110+H111+H112, 0)</f>
        <v>2288.5999999999995</v>
      </c>
      <c r="Y114">
        <f>IF(Source!BI72=3,H107+H108+H110+H111+H112, 0)</f>
        <v>0</v>
      </c>
      <c r="Z114">
        <f>IF(Source!BI72=4,H107+H108+H110+H111+H112, 0)</f>
        <v>0</v>
      </c>
    </row>
    <row r="115" spans="1:26" ht="42.75" x14ac:dyDescent="0.2">
      <c r="A115" s="67" t="str">
        <f>Source!E73</f>
        <v>4</v>
      </c>
      <c r="B115" s="68" t="str">
        <f>Source!F73</f>
        <v>4.8-73-4</v>
      </c>
      <c r="C115" s="68" t="str">
        <f>Source!G73</f>
        <v>КАБЕЛИ ДО 35 КВ В ГОТОВЫХ ТРАНШЕЯХ БЕЗ ПОКРЫТИЙ, КАБЕЛЬ МАССОЙ: ДО 6 КГ</v>
      </c>
      <c r="D115" s="47" t="str">
        <f>Source!H73</f>
        <v>100 м</v>
      </c>
      <c r="E115" s="41">
        <f>Source!I73</f>
        <v>2.17</v>
      </c>
      <c r="F115" s="48">
        <f>Source!AL73+Source!AM73+Source!AO73</f>
        <v>858.92000000000007</v>
      </c>
      <c r="G115" s="49"/>
      <c r="H115" s="50"/>
      <c r="I115" s="49" t="str">
        <f>Source!BO73</f>
        <v>4.8-73-4</v>
      </c>
      <c r="J115" s="49"/>
      <c r="K115" s="50"/>
      <c r="L115" s="51"/>
      <c r="S115">
        <f>ROUND((Source!FX73/100)*((ROUND((Source!AF73*Source!AV73)*Source!I73, 2)+ROUND((Source!AE73*Source!AV73)*Source!I73, 2))), 2)</f>
        <v>1040.93</v>
      </c>
      <c r="T115">
        <f>Source!X73</f>
        <v>12021.81</v>
      </c>
      <c r="U115">
        <f>ROUND((Source!FY73/100)*((ROUND((Source!AF73*Source!AV73)*Source!I73, 2)+ROUND((Source!AE73*Source!AV73)*Source!I73, 2))), 2)</f>
        <v>650.58000000000004</v>
      </c>
      <c r="V115">
        <f>Source!Y73</f>
        <v>5743.76</v>
      </c>
    </row>
    <row r="116" spans="1:26" x14ac:dyDescent="0.2">
      <c r="C116" s="35" t="str">
        <f>"Объем: "&amp;Source!I73&amp;"=217/"&amp;"100"</f>
        <v>Объем: 2,17=217/100</v>
      </c>
    </row>
    <row r="117" spans="1:26" ht="14.25" x14ac:dyDescent="0.2">
      <c r="A117" s="67"/>
      <c r="B117" s="68"/>
      <c r="C117" s="68" t="s">
        <v>236</v>
      </c>
      <c r="D117" s="47"/>
      <c r="E117" s="41"/>
      <c r="F117" s="48">
        <f>Source!AO73</f>
        <v>231.8</v>
      </c>
      <c r="G117" s="49" t="str">
        <f>Source!DG73</f>
        <v>)*1,2</v>
      </c>
      <c r="H117" s="50">
        <f>ROUND((Source!AF73*Source!AV73)*Source!I73, 2)</f>
        <v>644.04999999999995</v>
      </c>
      <c r="I117" s="49"/>
      <c r="J117" s="49">
        <f>IF(Source!BA73&lt;&gt; 0, Source!BA73, 1)</f>
        <v>20.74</v>
      </c>
      <c r="K117" s="50">
        <f>Source!S73</f>
        <v>13357.57</v>
      </c>
      <c r="L117" s="51"/>
      <c r="R117">
        <f>H117</f>
        <v>644.04999999999995</v>
      </c>
    </row>
    <row r="118" spans="1:26" ht="14.25" x14ac:dyDescent="0.2">
      <c r="A118" s="67"/>
      <c r="B118" s="68"/>
      <c r="C118" s="68" t="s">
        <v>94</v>
      </c>
      <c r="D118" s="47"/>
      <c r="E118" s="41"/>
      <c r="F118" s="48">
        <f>Source!AM73</f>
        <v>601.29</v>
      </c>
      <c r="G118" s="49" t="str">
        <f>Source!DE73</f>
        <v>)*1,2</v>
      </c>
      <c r="H118" s="50">
        <f>ROUND((Source!AD73*Source!AV73)*Source!I73, 2)</f>
        <v>1670.67</v>
      </c>
      <c r="I118" s="49"/>
      <c r="J118" s="49">
        <f>IF(Source!BB73&lt;&gt; 0, Source!BB73, 1)</f>
        <v>5.31</v>
      </c>
      <c r="K118" s="50">
        <f>Source!Q73</f>
        <v>8871.23</v>
      </c>
      <c r="L118" s="51"/>
    </row>
    <row r="119" spans="1:26" ht="14.25" x14ac:dyDescent="0.2">
      <c r="A119" s="67"/>
      <c r="B119" s="68"/>
      <c r="C119" s="68" t="s">
        <v>242</v>
      </c>
      <c r="D119" s="47"/>
      <c r="E119" s="41"/>
      <c r="F119" s="48">
        <f>Source!AN73</f>
        <v>102.7</v>
      </c>
      <c r="G119" s="49" t="str">
        <f>Source!DF73</f>
        <v>)*1,2</v>
      </c>
      <c r="H119" s="62">
        <f>ROUND((Source!AE73*Source!AV73)*Source!I73, 2)</f>
        <v>285.35000000000002</v>
      </c>
      <c r="I119" s="49"/>
      <c r="J119" s="49">
        <f>IF(Source!BS73&lt;&gt; 0, Source!BS73, 1)</f>
        <v>20.74</v>
      </c>
      <c r="K119" s="62">
        <f>Source!R73</f>
        <v>5918.13</v>
      </c>
      <c r="L119" s="51"/>
      <c r="R119">
        <f>H119</f>
        <v>285.35000000000002</v>
      </c>
    </row>
    <row r="120" spans="1:26" ht="14.25" x14ac:dyDescent="0.2">
      <c r="A120" s="67"/>
      <c r="B120" s="68"/>
      <c r="C120" s="68" t="s">
        <v>243</v>
      </c>
      <c r="D120" s="47"/>
      <c r="E120" s="41"/>
      <c r="F120" s="48">
        <f>Source!AL73</f>
        <v>25.83</v>
      </c>
      <c r="G120" s="49" t="str">
        <f>Source!DD73</f>
        <v/>
      </c>
      <c r="H120" s="50">
        <f>ROUND((Source!AC73*Source!AW73)*Source!I73, 2)</f>
        <v>60.59</v>
      </c>
      <c r="I120" s="49"/>
      <c r="J120" s="49">
        <f>IF(Source!BC73&lt;&gt; 0, Source!BC73, 1)</f>
        <v>5.0199999999999996</v>
      </c>
      <c r="K120" s="50">
        <f>Source!P73</f>
        <v>304.17</v>
      </c>
      <c r="L120" s="51"/>
    </row>
    <row r="121" spans="1:26" ht="14.25" x14ac:dyDescent="0.2">
      <c r="A121" s="67"/>
      <c r="B121" s="68"/>
      <c r="C121" s="68" t="s">
        <v>237</v>
      </c>
      <c r="D121" s="47" t="s">
        <v>238</v>
      </c>
      <c r="E121" s="41">
        <f>Source!DN73</f>
        <v>112</v>
      </c>
      <c r="F121" s="71"/>
      <c r="G121" s="49"/>
      <c r="H121" s="50">
        <f>SUM(S115:S123)</f>
        <v>1040.93</v>
      </c>
      <c r="I121" s="52"/>
      <c r="J121" s="45">
        <f>Source!AT73</f>
        <v>90</v>
      </c>
      <c r="K121" s="50">
        <f>SUM(T115:T123)</f>
        <v>12021.81</v>
      </c>
      <c r="L121" s="51"/>
    </row>
    <row r="122" spans="1:26" ht="14.25" x14ac:dyDescent="0.2">
      <c r="A122" s="67"/>
      <c r="B122" s="68"/>
      <c r="C122" s="68" t="s">
        <v>239</v>
      </c>
      <c r="D122" s="47" t="s">
        <v>238</v>
      </c>
      <c r="E122" s="41">
        <f>Source!DO73</f>
        <v>70</v>
      </c>
      <c r="F122" s="71"/>
      <c r="G122" s="49"/>
      <c r="H122" s="50">
        <f>SUM(U115:U123)</f>
        <v>650.58000000000004</v>
      </c>
      <c r="I122" s="52"/>
      <c r="J122" s="45">
        <f>Source!AU73</f>
        <v>43</v>
      </c>
      <c r="K122" s="50">
        <f>SUM(V115:V123)</f>
        <v>5743.76</v>
      </c>
      <c r="L122" s="51"/>
    </row>
    <row r="123" spans="1:26" ht="14.25" x14ac:dyDescent="0.2">
      <c r="A123" s="69"/>
      <c r="B123" s="70"/>
      <c r="C123" s="70" t="s">
        <v>240</v>
      </c>
      <c r="D123" s="53" t="s">
        <v>241</v>
      </c>
      <c r="E123" s="54">
        <f>Source!AQ73</f>
        <v>18.8</v>
      </c>
      <c r="F123" s="55"/>
      <c r="G123" s="56" t="str">
        <f>Source!DI73</f>
        <v>)*1,2</v>
      </c>
      <c r="H123" s="57"/>
      <c r="I123" s="56"/>
      <c r="J123" s="56"/>
      <c r="K123" s="57"/>
      <c r="L123" s="58">
        <f>Source!U73</f>
        <v>52.235198399999987</v>
      </c>
    </row>
    <row r="124" spans="1:26" ht="15" x14ac:dyDescent="0.25">
      <c r="G124" s="59">
        <f>H117+H118+H120+H121+H122</f>
        <v>4066.8200000000006</v>
      </c>
      <c r="H124" s="59"/>
      <c r="J124" s="59">
        <f>K117+K118+K120+K121+K122</f>
        <v>40298.54</v>
      </c>
      <c r="K124" s="59"/>
      <c r="L124" s="60">
        <f>Source!U73</f>
        <v>52.235198399999987</v>
      </c>
      <c r="O124" s="36">
        <f>G124</f>
        <v>4066.8200000000006</v>
      </c>
      <c r="P124" s="36">
        <f>J124</f>
        <v>40298.54</v>
      </c>
      <c r="Q124" s="36">
        <f>L124</f>
        <v>52.235198399999987</v>
      </c>
      <c r="W124">
        <f>IF(Source!BI73&lt;=1,H117+H118+H120+H121+H122, 0)</f>
        <v>0</v>
      </c>
      <c r="X124">
        <f>IF(Source!BI73=2,H117+H118+H120+H121+H122, 0)</f>
        <v>4066.8200000000006</v>
      </c>
      <c r="Y124">
        <f>IF(Source!BI73=3,H117+H118+H120+H121+H122, 0)</f>
        <v>0</v>
      </c>
      <c r="Z124">
        <f>IF(Source!BI73=4,H117+H118+H120+H121+H122, 0)</f>
        <v>0</v>
      </c>
    </row>
    <row r="125" spans="1:26" ht="114" x14ac:dyDescent="0.2">
      <c r="A125" s="67" t="str">
        <f>Source!E74</f>
        <v>5</v>
      </c>
      <c r="B125" s="68" t="str">
        <f>Source!F74</f>
        <v>1.23-7-584</v>
      </c>
      <c r="C125" s="68" t="str">
        <f>Source!G74</f>
        <v>КАБЕЛИ СИЛОВЫЕ С АЛЮМИНИЕВЫМИ ЖИЛАМИ С ИЗОЛЯЦИЕЙ ИЗ СИЛАНОЛЬНОСШИТОГО ПОЛИЭТИЛЕНА, ЗАЩИТНЫЙ ПОКРОВ ТИПА ББШП, НАПРЯЖЕНИЕ 1000 В, МАРКА АПВББШП, ЧИСЛО ЖИЛ И СЕЧЕНИЕ, ММ2: 4Х240 МН</v>
      </c>
      <c r="D125" s="47" t="str">
        <f>Source!H74</f>
        <v>км</v>
      </c>
      <c r="E125" s="41">
        <f>Source!I74</f>
        <v>0.42534</v>
      </c>
      <c r="F125" s="48">
        <f>Source!AL74</f>
        <v>387101.13</v>
      </c>
      <c r="G125" s="49" t="str">
        <f>Source!DD74</f>
        <v/>
      </c>
      <c r="H125" s="50">
        <f>ROUND((Source!AC74*Source!AW74)*Source!I74, 2)</f>
        <v>164649.59</v>
      </c>
      <c r="I125" s="49" t="str">
        <f>Source!BO74</f>
        <v>1.23-7-584</v>
      </c>
      <c r="J125" s="49">
        <f>IF(Source!BC74&lt;&gt; 0, Source!BC74, 1)</f>
        <v>1.77</v>
      </c>
      <c r="K125" s="50">
        <f>Source!P74</f>
        <v>291429.78000000003</v>
      </c>
      <c r="L125" s="51"/>
      <c r="S125">
        <f>ROUND((Source!FX74/100)*((ROUND((Source!AF74*Source!AV74)*Source!I74, 2)+ROUND((Source!AE74*Source!AV74)*Source!I74, 2))), 2)</f>
        <v>0</v>
      </c>
      <c r="T125">
        <f>Source!X74</f>
        <v>0</v>
      </c>
      <c r="U125">
        <f>ROUND((Source!FY74/100)*((ROUND((Source!AF74*Source!AV74)*Source!I74, 2)+ROUND((Source!AE74*Source!AV74)*Source!I74, 2))), 2)</f>
        <v>0</v>
      </c>
      <c r="V125">
        <f>Source!Y74</f>
        <v>0</v>
      </c>
    </row>
    <row r="126" spans="1:26" x14ac:dyDescent="0.2">
      <c r="A126" s="38"/>
      <c r="B126" s="38"/>
      <c r="C126" s="39" t="str">
        <f>"Объем: "&amp;Source!I74&amp;"=417*"&amp;"1,02/"&amp;"1000"</f>
        <v>Объем: 0,42534=417*1,02/1000</v>
      </c>
      <c r="D126" s="38"/>
      <c r="E126" s="38"/>
      <c r="F126" s="38"/>
      <c r="G126" s="38"/>
      <c r="H126" s="38"/>
      <c r="I126" s="38"/>
      <c r="J126" s="38"/>
      <c r="K126" s="38"/>
      <c r="L126" s="38"/>
    </row>
    <row r="127" spans="1:26" ht="15" x14ac:dyDescent="0.25">
      <c r="G127" s="59">
        <f>H125</f>
        <v>164649.59</v>
      </c>
      <c r="H127" s="59"/>
      <c r="J127" s="59">
        <f>K125</f>
        <v>291429.78000000003</v>
      </c>
      <c r="K127" s="59"/>
      <c r="L127" s="60">
        <f>Source!U74</f>
        <v>0</v>
      </c>
      <c r="O127" s="36">
        <f>G127</f>
        <v>164649.59</v>
      </c>
      <c r="P127" s="36">
        <f>J127</f>
        <v>291429.78000000003</v>
      </c>
      <c r="Q127" s="36">
        <f>L127</f>
        <v>0</v>
      </c>
      <c r="W127">
        <f>IF(Source!BI74&lt;=1,H125, 0)</f>
        <v>0</v>
      </c>
      <c r="X127">
        <f>IF(Source!BI74=2,H125, 0)</f>
        <v>164649.59</v>
      </c>
      <c r="Y127">
        <f>IF(Source!BI74=3,H125, 0)</f>
        <v>0</v>
      </c>
      <c r="Z127">
        <f>IF(Source!BI74=4,H125, 0)</f>
        <v>0</v>
      </c>
    </row>
    <row r="128" spans="1:26" ht="57" x14ac:dyDescent="0.2">
      <c r="A128" s="67" t="str">
        <f>Source!E75</f>
        <v>6</v>
      </c>
      <c r="B128" s="68" t="str">
        <f>Source!F75</f>
        <v>4.8-95-5</v>
      </c>
      <c r="C128" s="68" t="str">
        <f>Source!G75</f>
        <v>МУФТЫ МАЧТОВЫЕ КОНЦЕВЫЕ МЕТАЛЛИЧЕСКИЕ, МУФТА ДЛЯ КАБЕЛЯ, НАПРЯЖЕНИЕ ДО 1 КВ, СЕЧЕНИЕ: ДО 240 ММ2</v>
      </c>
      <c r="D128" s="47" t="str">
        <f>Source!H75</f>
        <v>шт.</v>
      </c>
      <c r="E128" s="41">
        <f>Source!I75</f>
        <v>4</v>
      </c>
      <c r="F128" s="48">
        <f>Source!AL75+Source!AM75+Source!AO75</f>
        <v>1975.8000000000002</v>
      </c>
      <c r="G128" s="49"/>
      <c r="H128" s="50"/>
      <c r="I128" s="49" t="str">
        <f>Source!BO75</f>
        <v>4.8-95-5</v>
      </c>
      <c r="J128" s="49"/>
      <c r="K128" s="50"/>
      <c r="L128" s="51"/>
      <c r="S128">
        <f>ROUND((Source!FX75/100)*((ROUND((Source!AF75*Source!AV75)*Source!I75, 2)+ROUND((Source!AE75*Source!AV75)*Source!I75, 2))), 2)</f>
        <v>2961.63</v>
      </c>
      <c r="T128">
        <f>Source!X75</f>
        <v>12313.52</v>
      </c>
      <c r="U128">
        <f>ROUND((Source!FY75/100)*((ROUND((Source!AF75*Source!AV75)*Source!I75, 2)+ROUND((Source!AE75*Source!AV75)*Source!I75, 2))), 2)</f>
        <v>1851.02</v>
      </c>
      <c r="V128">
        <f>Source!Y75</f>
        <v>5883.13</v>
      </c>
    </row>
    <row r="129" spans="1:26" ht="14.25" x14ac:dyDescent="0.2">
      <c r="A129" s="67"/>
      <c r="B129" s="68"/>
      <c r="C129" s="68" t="s">
        <v>236</v>
      </c>
      <c r="D129" s="47"/>
      <c r="E129" s="41"/>
      <c r="F129" s="48">
        <f>Source!AO75</f>
        <v>131.93</v>
      </c>
      <c r="G129" s="49" t="str">
        <f>Source!DG75</f>
        <v>)*1,15</v>
      </c>
      <c r="H129" s="50">
        <f>ROUND((Source!AF75*Source!AV75)*Source!I75, 2)</f>
        <v>659.68</v>
      </c>
      <c r="I129" s="49"/>
      <c r="J129" s="49">
        <f>IF(Source!BA75&lt;&gt; 0, Source!BA75, 1)</f>
        <v>20.74</v>
      </c>
      <c r="K129" s="50">
        <f>Source!S75</f>
        <v>13681.69</v>
      </c>
      <c r="L129" s="51"/>
      <c r="R129">
        <f>H129</f>
        <v>659.68</v>
      </c>
    </row>
    <row r="130" spans="1:26" ht="14.25" x14ac:dyDescent="0.2">
      <c r="A130" s="67"/>
      <c r="B130" s="68"/>
      <c r="C130" s="68" t="s">
        <v>94</v>
      </c>
      <c r="D130" s="47"/>
      <c r="E130" s="41"/>
      <c r="F130" s="48">
        <f>Source!AM75</f>
        <v>1841.14</v>
      </c>
      <c r="G130" s="49" t="str">
        <f>Source!DE75</f>
        <v>)*1,15</v>
      </c>
      <c r="H130" s="50">
        <f>ROUND((Source!AD75*Source!AV75)*Source!I75, 2)</f>
        <v>9206.07</v>
      </c>
      <c r="I130" s="49"/>
      <c r="J130" s="49">
        <f>IF(Source!BB75&lt;&gt; 0, Source!BB75, 1)</f>
        <v>8.26</v>
      </c>
      <c r="K130" s="50">
        <f>Source!Q75</f>
        <v>76042.12</v>
      </c>
      <c r="L130" s="51"/>
    </row>
    <row r="131" spans="1:26" ht="14.25" x14ac:dyDescent="0.2">
      <c r="A131" s="67"/>
      <c r="B131" s="68"/>
      <c r="C131" s="68" t="s">
        <v>242</v>
      </c>
      <c r="D131" s="47"/>
      <c r="E131" s="41"/>
      <c r="F131" s="48">
        <f>Source!AN75</f>
        <v>396.91</v>
      </c>
      <c r="G131" s="49" t="str">
        <f>Source!DF75</f>
        <v>)*1,15</v>
      </c>
      <c r="H131" s="62">
        <f>ROUND((Source!AE75*Source!AV75)*Source!I75, 2)</f>
        <v>1984.63</v>
      </c>
      <c r="I131" s="49"/>
      <c r="J131" s="49">
        <f>IF(Source!BS75&lt;&gt; 0, Source!BS75, 1)</f>
        <v>20.74</v>
      </c>
      <c r="K131" s="62">
        <f>Source!R75</f>
        <v>41161.21</v>
      </c>
      <c r="L131" s="51"/>
      <c r="R131">
        <f>H131</f>
        <v>1984.63</v>
      </c>
    </row>
    <row r="132" spans="1:26" ht="14.25" x14ac:dyDescent="0.2">
      <c r="A132" s="67"/>
      <c r="B132" s="68"/>
      <c r="C132" s="68" t="s">
        <v>243</v>
      </c>
      <c r="D132" s="47"/>
      <c r="E132" s="41"/>
      <c r="F132" s="48">
        <f>Source!AL75</f>
        <v>2.73</v>
      </c>
      <c r="G132" s="49" t="str">
        <f>Source!DD75</f>
        <v/>
      </c>
      <c r="H132" s="50">
        <f>ROUND((Source!AC75*Source!AW75)*Source!I75, 2)</f>
        <v>10.92</v>
      </c>
      <c r="I132" s="49"/>
      <c r="J132" s="49">
        <f>IF(Source!BC75&lt;&gt; 0, Source!BC75, 1)</f>
        <v>5.0199999999999996</v>
      </c>
      <c r="K132" s="50">
        <f>Source!P75</f>
        <v>54.82</v>
      </c>
      <c r="L132" s="51"/>
    </row>
    <row r="133" spans="1:26" ht="14.25" x14ac:dyDescent="0.2">
      <c r="A133" s="67"/>
      <c r="B133" s="68"/>
      <c r="C133" s="68" t="s">
        <v>237</v>
      </c>
      <c r="D133" s="47" t="s">
        <v>238</v>
      </c>
      <c r="E133" s="41">
        <f>Source!DN75</f>
        <v>112</v>
      </c>
      <c r="F133" s="71"/>
      <c r="G133" s="49"/>
      <c r="H133" s="50">
        <f>SUM(S128:S135)</f>
        <v>2961.63</v>
      </c>
      <c r="I133" s="52"/>
      <c r="J133" s="45">
        <f>Source!AT75</f>
        <v>90</v>
      </c>
      <c r="K133" s="50">
        <f>SUM(T128:T135)</f>
        <v>12313.52</v>
      </c>
      <c r="L133" s="51"/>
    </row>
    <row r="134" spans="1:26" ht="14.25" x14ac:dyDescent="0.2">
      <c r="A134" s="67"/>
      <c r="B134" s="68"/>
      <c r="C134" s="68" t="s">
        <v>239</v>
      </c>
      <c r="D134" s="47" t="s">
        <v>238</v>
      </c>
      <c r="E134" s="41">
        <f>Source!DO75</f>
        <v>70</v>
      </c>
      <c r="F134" s="71"/>
      <c r="G134" s="49"/>
      <c r="H134" s="50">
        <f>SUM(U128:U135)</f>
        <v>1851.02</v>
      </c>
      <c r="I134" s="52"/>
      <c r="J134" s="45">
        <f>Source!AU75</f>
        <v>43</v>
      </c>
      <c r="K134" s="50">
        <f>SUM(V128:V135)</f>
        <v>5883.13</v>
      </c>
      <c r="L134" s="51"/>
    </row>
    <row r="135" spans="1:26" ht="14.25" x14ac:dyDescent="0.2">
      <c r="A135" s="69"/>
      <c r="B135" s="70"/>
      <c r="C135" s="70" t="s">
        <v>240</v>
      </c>
      <c r="D135" s="53" t="s">
        <v>241</v>
      </c>
      <c r="E135" s="54">
        <f>Source!AQ75</f>
        <v>10.7</v>
      </c>
      <c r="F135" s="55"/>
      <c r="G135" s="56" t="str">
        <f>Source!DI75</f>
        <v>)*1,15</v>
      </c>
      <c r="H135" s="57"/>
      <c r="I135" s="56"/>
      <c r="J135" s="56"/>
      <c r="K135" s="57"/>
      <c r="L135" s="58">
        <f>Source!U75</f>
        <v>53.50213999999999</v>
      </c>
    </row>
    <row r="136" spans="1:26" ht="15" x14ac:dyDescent="0.25">
      <c r="G136" s="59">
        <f>H129+H130+H132+H133+H134</f>
        <v>14689.32</v>
      </c>
      <c r="H136" s="59"/>
      <c r="J136" s="59">
        <f>K129+K130+K132+K133+K134</f>
        <v>107975.28000000001</v>
      </c>
      <c r="K136" s="59"/>
      <c r="L136" s="60">
        <f>Source!U75</f>
        <v>53.50213999999999</v>
      </c>
      <c r="O136" s="36">
        <f>G136</f>
        <v>14689.32</v>
      </c>
      <c r="P136" s="36">
        <f>J136</f>
        <v>107975.28000000001</v>
      </c>
      <c r="Q136" s="36">
        <f>L136</f>
        <v>53.50213999999999</v>
      </c>
      <c r="W136">
        <f>IF(Source!BI75&lt;=1,H129+H130+H132+H133+H134, 0)</f>
        <v>0</v>
      </c>
      <c r="X136">
        <f>IF(Source!BI75=2,H129+H130+H132+H133+H134, 0)</f>
        <v>14689.32</v>
      </c>
      <c r="Y136">
        <f>IF(Source!BI75=3,H129+H130+H132+H133+H134, 0)</f>
        <v>0</v>
      </c>
      <c r="Z136">
        <f>IF(Source!BI75=4,H129+H130+H132+H133+H134, 0)</f>
        <v>0</v>
      </c>
    </row>
    <row r="137" spans="1:26" ht="85.5" x14ac:dyDescent="0.2">
      <c r="A137" s="69" t="str">
        <f>Source!E76</f>
        <v>7</v>
      </c>
      <c r="B137" s="70" t="str">
        <f>Source!F76</f>
        <v>1.21-5-251</v>
      </c>
      <c r="C137" s="70" t="str">
        <f>Source!G76</f>
        <v>МУФТЫ СОЕДИНИТЕЛЬНЫЕ ТЕРМОУСАЖИВАЕМЫЕ ДЛЯ СОЕДИНЕНИЯ СИЛОВЫХ КАБЕЛЕЙ НА НАПРЯЖЕНИЕ 1 КВ, БЕЗ СОЕДИНИТЕЛЕЙ, ТИП 3СТП 1-240, СЕЧЕНИЕ ЖИЛ 150-240 ММ2</v>
      </c>
      <c r="D137" s="53" t="str">
        <f>Source!H76</f>
        <v>компл.</v>
      </c>
      <c r="E137" s="54">
        <f>Source!I76</f>
        <v>4</v>
      </c>
      <c r="F137" s="55">
        <f>Source!AL76</f>
        <v>813.96</v>
      </c>
      <c r="G137" s="56" t="str">
        <f>Source!DD76</f>
        <v/>
      </c>
      <c r="H137" s="57">
        <f>ROUND((Source!AC76*Source!AW76)*Source!I76, 2)</f>
        <v>3255.84</v>
      </c>
      <c r="I137" s="56" t="str">
        <f>Source!BO76</f>
        <v>1.21-5-251</v>
      </c>
      <c r="J137" s="56">
        <f>IF(Source!BC76&lt;&gt; 0, Source!BC76, 1)</f>
        <v>2.83</v>
      </c>
      <c r="K137" s="57">
        <f>Source!P76</f>
        <v>9214.0300000000007</v>
      </c>
      <c r="L137" s="61"/>
      <c r="S137">
        <f>ROUND((Source!FX76/100)*((ROUND((Source!AF76*Source!AV76)*Source!I76, 2)+ROUND((Source!AE76*Source!AV76)*Source!I76, 2))), 2)</f>
        <v>0</v>
      </c>
      <c r="T137">
        <f>Source!X76</f>
        <v>0</v>
      </c>
      <c r="U137">
        <f>ROUND((Source!FY76/100)*((ROUND((Source!AF76*Source!AV76)*Source!I76, 2)+ROUND((Source!AE76*Source!AV76)*Source!I76, 2))), 2)</f>
        <v>0</v>
      </c>
      <c r="V137">
        <f>Source!Y76</f>
        <v>0</v>
      </c>
    </row>
    <row r="138" spans="1:26" ht="15" x14ac:dyDescent="0.25">
      <c r="G138" s="59">
        <f>H137</f>
        <v>3255.84</v>
      </c>
      <c r="H138" s="59"/>
      <c r="J138" s="59">
        <f>K137</f>
        <v>9214.0300000000007</v>
      </c>
      <c r="K138" s="59"/>
      <c r="L138" s="60">
        <f>Source!U76</f>
        <v>0</v>
      </c>
      <c r="O138" s="36">
        <f>G138</f>
        <v>3255.84</v>
      </c>
      <c r="P138" s="36">
        <f>J138</f>
        <v>9214.0300000000007</v>
      </c>
      <c r="Q138" s="36">
        <f>L138</f>
        <v>0</v>
      </c>
      <c r="W138">
        <f>IF(Source!BI76&lt;=1,H137, 0)</f>
        <v>0</v>
      </c>
      <c r="X138">
        <f>IF(Source!BI76=2,H137, 0)</f>
        <v>3255.84</v>
      </c>
      <c r="Y138">
        <f>IF(Source!BI76=3,H137, 0)</f>
        <v>0</v>
      </c>
      <c r="Z138">
        <f>IF(Source!BI76=4,H137, 0)</f>
        <v>0</v>
      </c>
    </row>
    <row r="139" spans="1:26" ht="114" x14ac:dyDescent="0.2">
      <c r="A139" s="67" t="str">
        <f>Source!E77</f>
        <v>8</v>
      </c>
      <c r="B139" s="68" t="str">
        <f>Source!F77</f>
        <v>4.8-75-5</v>
      </c>
      <c r="C139" s="68" t="str">
        <f>Source!G77</f>
        <v>ПОКРЫТИЕ КАБЕЛЕЙ, ПРОЛОЖЕННЫХ В ТРАНШЕЕ, ПЛИТАМИ ИЗ ПОЛИМЕРНАПОЛНЕННЫХ МАТЕРИАЛОВ В ОДИН РЯД РАЗМЕРОМ 48Х24 СМ, РАСПОЛОЖЕННЫМИ ВДОЛЬ КАБЕЛЬНОЙ ЛИНИИ</v>
      </c>
      <c r="D139" s="47" t="str">
        <f>Source!H77</f>
        <v>100 м</v>
      </c>
      <c r="E139" s="41">
        <f>Source!I77</f>
        <v>2.17</v>
      </c>
      <c r="F139" s="48">
        <f>Source!AL77+Source!AM77+Source!AO77</f>
        <v>44.1</v>
      </c>
      <c r="G139" s="49"/>
      <c r="H139" s="50"/>
      <c r="I139" s="49" t="str">
        <f>Source!BO77</f>
        <v>4.8-75-5</v>
      </c>
      <c r="J139" s="49"/>
      <c r="K139" s="50"/>
      <c r="L139" s="51"/>
      <c r="S139">
        <f>ROUND((Source!FX77/100)*((ROUND((Source!AF77*Source!AV77)*Source!I77, 2)+ROUND((Source!AE77*Source!AV77)*Source!I77, 2))), 2)</f>
        <v>119.65</v>
      </c>
      <c r="T139">
        <f>Source!X77</f>
        <v>1932.91</v>
      </c>
      <c r="U139">
        <f>ROUND((Source!FY77/100)*((ROUND((Source!AF77*Source!AV77)*Source!I77, 2)+ROUND((Source!AE77*Source!AV77)*Source!I77, 2))), 2)</f>
        <v>74.78</v>
      </c>
      <c r="V139">
        <f>Source!Y77</f>
        <v>923.5</v>
      </c>
    </row>
    <row r="140" spans="1:26" x14ac:dyDescent="0.2">
      <c r="C140" s="35" t="str">
        <f>"Объем: "&amp;Source!I77&amp;"=217/"&amp;"100"</f>
        <v>Объем: 2,17=217/100</v>
      </c>
    </row>
    <row r="141" spans="1:26" ht="14.25" x14ac:dyDescent="0.2">
      <c r="A141" s="67"/>
      <c r="B141" s="68"/>
      <c r="C141" s="68" t="s">
        <v>236</v>
      </c>
      <c r="D141" s="47"/>
      <c r="E141" s="41"/>
      <c r="F141" s="48">
        <f>Source!AO77</f>
        <v>38.89</v>
      </c>
      <c r="G141" s="49" t="str">
        <f>Source!DG77</f>
        <v>)*1,15</v>
      </c>
      <c r="H141" s="50">
        <f>ROUND((Source!AF77*Source!AV77)*Source!I77, 2)</f>
        <v>103.55</v>
      </c>
      <c r="I141" s="49"/>
      <c r="J141" s="49">
        <f>IF(Source!BA77&lt;&gt; 0, Source!BA77, 1)</f>
        <v>20.74</v>
      </c>
      <c r="K141" s="50">
        <f>Source!S77</f>
        <v>2147.6799999999998</v>
      </c>
      <c r="L141" s="51"/>
      <c r="R141">
        <f>H141</f>
        <v>103.55</v>
      </c>
    </row>
    <row r="142" spans="1:26" ht="14.25" x14ac:dyDescent="0.2">
      <c r="A142" s="67"/>
      <c r="B142" s="68"/>
      <c r="C142" s="68" t="s">
        <v>94</v>
      </c>
      <c r="D142" s="47"/>
      <c r="E142" s="41"/>
      <c r="F142" s="48">
        <f>Source!AM77</f>
        <v>5.21</v>
      </c>
      <c r="G142" s="49" t="str">
        <f>Source!DE77</f>
        <v>)*1,15</v>
      </c>
      <c r="H142" s="50">
        <f>ROUND((Source!AD77*Source!AV77)*Source!I77, 2)</f>
        <v>13.87</v>
      </c>
      <c r="I142" s="49"/>
      <c r="J142" s="49">
        <f>IF(Source!BB77&lt;&gt; 0, Source!BB77, 1)</f>
        <v>8.2200000000000006</v>
      </c>
      <c r="K142" s="50">
        <f>Source!Q77</f>
        <v>114.03</v>
      </c>
      <c r="L142" s="51"/>
    </row>
    <row r="143" spans="1:26" ht="14.25" x14ac:dyDescent="0.2">
      <c r="A143" s="67"/>
      <c r="B143" s="68"/>
      <c r="C143" s="68" t="s">
        <v>242</v>
      </c>
      <c r="D143" s="47"/>
      <c r="E143" s="41"/>
      <c r="F143" s="48">
        <f>Source!AN77</f>
        <v>1.23</v>
      </c>
      <c r="G143" s="49" t="str">
        <f>Source!DF77</f>
        <v>)*1,15</v>
      </c>
      <c r="H143" s="62">
        <f>ROUND((Source!AE77*Source!AV77)*Source!I77, 2)</f>
        <v>3.28</v>
      </c>
      <c r="I143" s="49"/>
      <c r="J143" s="49">
        <f>IF(Source!BS77&lt;&gt; 0, Source!BS77, 1)</f>
        <v>20.74</v>
      </c>
      <c r="K143" s="62">
        <f>Source!R77</f>
        <v>67.930000000000007</v>
      </c>
      <c r="L143" s="51"/>
      <c r="R143">
        <f>H143</f>
        <v>3.28</v>
      </c>
    </row>
    <row r="144" spans="1:26" ht="14.25" x14ac:dyDescent="0.2">
      <c r="A144" s="67"/>
      <c r="B144" s="68"/>
      <c r="C144" s="68" t="s">
        <v>237</v>
      </c>
      <c r="D144" s="47" t="s">
        <v>238</v>
      </c>
      <c r="E144" s="41">
        <f>Source!DN77</f>
        <v>112</v>
      </c>
      <c r="F144" s="71"/>
      <c r="G144" s="49"/>
      <c r="H144" s="50">
        <f>SUM(S139:S147)</f>
        <v>119.65</v>
      </c>
      <c r="I144" s="52"/>
      <c r="J144" s="45">
        <f>Source!AT77</f>
        <v>90</v>
      </c>
      <c r="K144" s="50">
        <f>SUM(T139:T147)</f>
        <v>1932.91</v>
      </c>
      <c r="L144" s="51"/>
    </row>
    <row r="145" spans="1:26" ht="14.25" x14ac:dyDescent="0.2">
      <c r="A145" s="67"/>
      <c r="B145" s="68"/>
      <c r="C145" s="68" t="s">
        <v>239</v>
      </c>
      <c r="D145" s="47" t="s">
        <v>238</v>
      </c>
      <c r="E145" s="41">
        <f>Source!DO77</f>
        <v>70</v>
      </c>
      <c r="F145" s="71"/>
      <c r="G145" s="49"/>
      <c r="H145" s="50">
        <f>SUM(U139:U147)</f>
        <v>74.78</v>
      </c>
      <c r="I145" s="52"/>
      <c r="J145" s="45">
        <f>Source!AU77</f>
        <v>43</v>
      </c>
      <c r="K145" s="50">
        <f>SUM(V139:V147)</f>
        <v>923.5</v>
      </c>
      <c r="L145" s="51"/>
    </row>
    <row r="146" spans="1:26" ht="14.25" x14ac:dyDescent="0.2">
      <c r="A146" s="67"/>
      <c r="B146" s="68"/>
      <c r="C146" s="68" t="s">
        <v>240</v>
      </c>
      <c r="D146" s="47" t="s">
        <v>241</v>
      </c>
      <c r="E146" s="41">
        <f>Source!AQ77</f>
        <v>3.68</v>
      </c>
      <c r="F146" s="48"/>
      <c r="G146" s="49" t="str">
        <f>Source!DI77</f>
        <v>)*1,15</v>
      </c>
      <c r="H146" s="50"/>
      <c r="I146" s="49"/>
      <c r="J146" s="49"/>
      <c r="K146" s="50"/>
      <c r="L146" s="64">
        <f>Source!U77</f>
        <v>9.7987304799999997</v>
      </c>
    </row>
    <row r="147" spans="1:26" ht="28.5" x14ac:dyDescent="0.2">
      <c r="A147" s="69" t="str">
        <f>Source!E78</f>
        <v>8,1</v>
      </c>
      <c r="B147" s="70" t="str">
        <f>Source!F78</f>
        <v>5716191000</v>
      </c>
      <c r="C147" s="70" t="str">
        <f>Source!G78</f>
        <v>ПЛИТЫ ПЗК 48Х24, ДЛЯ ЗАЩИТЫ КАБЕЛЬНЫХ ЛИНИЙ</v>
      </c>
      <c r="D147" s="53" t="str">
        <f>Source!H78</f>
        <v>шт.</v>
      </c>
      <c r="E147" s="54">
        <f>Source!I78</f>
        <v>447.02</v>
      </c>
      <c r="F147" s="55">
        <f>Source!AL78+Source!AM78+Source!AO78</f>
        <v>0</v>
      </c>
      <c r="G147" s="65" t="s">
        <v>3</v>
      </c>
      <c r="H147" s="57">
        <f>ROUND((Source!AC78*Source!AW78)*Source!I78, 2)+ROUND((Source!AD78*Source!AV78)*Source!I78, 2)+ROUND((Source!AF78*Source!AV78)*Source!I78, 2)</f>
        <v>0</v>
      </c>
      <c r="I147" s="56"/>
      <c r="J147" s="56">
        <f>IF(Source!BC78&lt;&gt; 0, Source!BC78, 1)</f>
        <v>1</v>
      </c>
      <c r="K147" s="57">
        <f>Source!O78</f>
        <v>0</v>
      </c>
      <c r="L147" s="61"/>
      <c r="S147">
        <f>ROUND((Source!FX78/100)*((ROUND((Source!AF78*Source!AV78)*Source!I78, 2)+ROUND((Source!AE78*Source!AV78)*Source!I78, 2))), 2)</f>
        <v>0</v>
      </c>
      <c r="T147">
        <f>Source!X78</f>
        <v>0</v>
      </c>
      <c r="U147">
        <f>ROUND((Source!FY78/100)*((ROUND((Source!AF78*Source!AV78)*Source!I78, 2)+ROUND((Source!AE78*Source!AV78)*Source!I78, 2))), 2)</f>
        <v>0</v>
      </c>
      <c r="V147">
        <f>Source!Y78</f>
        <v>0</v>
      </c>
      <c r="W147">
        <f>IF(Source!BI78&lt;=1,H147, 0)</f>
        <v>0</v>
      </c>
      <c r="X147">
        <f>IF(Source!BI78=2,H147, 0)</f>
        <v>0</v>
      </c>
      <c r="Y147">
        <f>IF(Source!BI78=3,H147, 0)</f>
        <v>0</v>
      </c>
      <c r="Z147">
        <f>IF(Source!BI78=4,H147, 0)</f>
        <v>0</v>
      </c>
    </row>
    <row r="148" spans="1:26" ht="15" x14ac:dyDescent="0.25">
      <c r="G148" s="59">
        <f>H141+H142+H144+H145+SUM(H147:H147)</f>
        <v>311.85000000000002</v>
      </c>
      <c r="H148" s="59"/>
      <c r="J148" s="59">
        <f>K141+K142+K144+K145+SUM(K147:K147)</f>
        <v>5118.12</v>
      </c>
      <c r="K148" s="59"/>
      <c r="L148" s="60">
        <f>Source!U77</f>
        <v>9.7987304799999997</v>
      </c>
      <c r="O148" s="36">
        <f>G148</f>
        <v>311.85000000000002</v>
      </c>
      <c r="P148" s="36">
        <f>J148</f>
        <v>5118.12</v>
      </c>
      <c r="Q148" s="36">
        <f>L148</f>
        <v>9.7987304799999997</v>
      </c>
      <c r="W148">
        <f>IF(Source!BI77&lt;=1,H141+H142+H144+H145, 0)</f>
        <v>0</v>
      </c>
      <c r="X148">
        <f>IF(Source!BI77=2,H141+H142+H144+H145, 0)</f>
        <v>311.85000000000002</v>
      </c>
      <c r="Y148">
        <f>IF(Source!BI77=3,H141+H142+H144+H145, 0)</f>
        <v>0</v>
      </c>
      <c r="Z148">
        <f>IF(Source!BI77=4,H141+H142+H144+H145, 0)</f>
        <v>0</v>
      </c>
    </row>
    <row r="150" spans="1:26" ht="15" x14ac:dyDescent="0.25">
      <c r="A150" s="46" t="str">
        <f>CONCATENATE("Итого по разделу: ",IF(Source!G80&lt;&gt;"Новый раздел", Source!G80, ""))</f>
        <v>Итого по разделу: Монтажные работы</v>
      </c>
      <c r="B150" s="46"/>
      <c r="C150" s="46"/>
      <c r="D150" s="46"/>
      <c r="E150" s="46"/>
      <c r="F150" s="46"/>
      <c r="G150" s="63">
        <f>SUM(O84:O149)</f>
        <v>194376.54</v>
      </c>
      <c r="H150" s="63"/>
      <c r="I150" s="43"/>
      <c r="J150" s="63">
        <f>SUM(P84:P149)</f>
        <v>520688.31000000006</v>
      </c>
      <c r="K150" s="63"/>
      <c r="L150" s="60">
        <f>SUM(Q84:Q149)</f>
        <v>185.30760433999995</v>
      </c>
    </row>
    <row r="154" spans="1:26" ht="16.5" x14ac:dyDescent="0.25">
      <c r="A154" s="44" t="str">
        <f>CONCATENATE("Раздел: ",IF(Source!G109&lt;&gt;"Новый раздел", Source!G109, ""))</f>
        <v>Раздел: Пусконаладочные работы</v>
      </c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</row>
    <row r="155" spans="1:26" ht="128.25" x14ac:dyDescent="0.2">
      <c r="A155" s="67" t="str">
        <f>Source!E113</f>
        <v>1</v>
      </c>
      <c r="B155" s="68" t="str">
        <f>Source!F113</f>
        <v>4.10-104-15</v>
      </c>
      <c r="C155" s="68" t="str">
        <f>Source!G113</f>
        <v>ИСПЫТАНИЕ ЭЛЕКТРИЧЕСКОЙ ПРОЧНОСТИ ИЗОЛЯЦИИ НА СМОНТИРОВАННОМ СИММЕТРИЧНОМ КАБЕЛЕ ПРИМЕРНО 1/4 УСИЛИТЕЛЬНОГО УЧАСТКА, СТРОИТЕЛЬНАЯ ДЛИНА ПРОЛОЖЕННОГО КАБЕЛЯ НА ДВУКАБЕЛЬНОЙ ЛИНИИ, ЕМКОСТЬ 7Х4</v>
      </c>
      <c r="D155" s="47" t="str">
        <f>Source!H113</f>
        <v>кабель</v>
      </c>
      <c r="E155" s="41">
        <f>Source!I113</f>
        <v>2</v>
      </c>
      <c r="F155" s="48">
        <f>Source!AL113+Source!AM113+Source!AO113</f>
        <v>213.69</v>
      </c>
      <c r="G155" s="49"/>
      <c r="H155" s="50"/>
      <c r="I155" s="49" t="str">
        <f>Source!BO113</f>
        <v>4.10-104-15</v>
      </c>
      <c r="J155" s="49"/>
      <c r="K155" s="50"/>
      <c r="L155" s="51"/>
      <c r="S155">
        <f>ROUND((Source!FX113/100)*((ROUND((Source!AF113*Source!AV113)*Source!I113, 2)+ROUND((Source!AE113*Source!AV113)*Source!I113, 2))), 2)</f>
        <v>141.88999999999999</v>
      </c>
      <c r="T155">
        <f>Source!X113</f>
        <v>1422.05</v>
      </c>
      <c r="U155">
        <f>ROUND((Source!FY113/100)*((ROUND((Source!AF113*Source!AV113)*Source!I113, 2)+ROUND((Source!AE113*Source!AV113)*Source!I113, 2))), 2)</f>
        <v>88.68</v>
      </c>
      <c r="V155">
        <f>Source!Y113</f>
        <v>679.42</v>
      </c>
    </row>
    <row r="156" spans="1:26" ht="14.25" x14ac:dyDescent="0.2">
      <c r="A156" s="67"/>
      <c r="B156" s="68"/>
      <c r="C156" s="68" t="s">
        <v>236</v>
      </c>
      <c r="D156" s="47"/>
      <c r="E156" s="41"/>
      <c r="F156" s="48">
        <f>Source!AO113</f>
        <v>35.700000000000003</v>
      </c>
      <c r="G156" s="49" t="str">
        <f>Source!DG113</f>
        <v/>
      </c>
      <c r="H156" s="50">
        <f>ROUND((Source!AF113*Source!AV113)*Source!I113, 2)</f>
        <v>76.180000000000007</v>
      </c>
      <c r="I156" s="49"/>
      <c r="J156" s="49">
        <f>IF(Source!BA113&lt;&gt; 0, Source!BA113, 1)</f>
        <v>20.74</v>
      </c>
      <c r="K156" s="50">
        <f>Source!S113</f>
        <v>1580.05</v>
      </c>
      <c r="L156" s="51"/>
      <c r="R156">
        <f>H156</f>
        <v>76.180000000000007</v>
      </c>
    </row>
    <row r="157" spans="1:26" ht="14.25" x14ac:dyDescent="0.2">
      <c r="A157" s="67"/>
      <c r="B157" s="68"/>
      <c r="C157" s="68" t="s">
        <v>94</v>
      </c>
      <c r="D157" s="47"/>
      <c r="E157" s="41"/>
      <c r="F157" s="48">
        <f>Source!AM113</f>
        <v>130.94999999999999</v>
      </c>
      <c r="G157" s="49" t="str">
        <f>Source!DE113</f>
        <v/>
      </c>
      <c r="H157" s="50">
        <f>ROUND((Source!AD113*Source!AV113)*Source!I113, 2)</f>
        <v>279.45</v>
      </c>
      <c r="I157" s="49"/>
      <c r="J157" s="49">
        <f>IF(Source!BB113&lt;&gt; 0, Source!BB113, 1)</f>
        <v>10.09</v>
      </c>
      <c r="K157" s="50">
        <f>Source!Q113</f>
        <v>2819.62</v>
      </c>
      <c r="L157" s="51"/>
    </row>
    <row r="158" spans="1:26" ht="14.25" x14ac:dyDescent="0.2">
      <c r="A158" s="67"/>
      <c r="B158" s="68"/>
      <c r="C158" s="68" t="s">
        <v>242</v>
      </c>
      <c r="D158" s="47"/>
      <c r="E158" s="41"/>
      <c r="F158" s="48">
        <f>Source!AN113</f>
        <v>23.67</v>
      </c>
      <c r="G158" s="49" t="str">
        <f>Source!DF113</f>
        <v/>
      </c>
      <c r="H158" s="62">
        <f>ROUND((Source!AE113*Source!AV113)*Source!I113, 2)</f>
        <v>50.51</v>
      </c>
      <c r="I158" s="49"/>
      <c r="J158" s="49">
        <f>IF(Source!BS113&lt;&gt; 0, Source!BS113, 1)</f>
        <v>20.74</v>
      </c>
      <c r="K158" s="62">
        <f>Source!R113</f>
        <v>1047.6099999999999</v>
      </c>
      <c r="L158" s="51"/>
      <c r="R158">
        <f>H158</f>
        <v>50.51</v>
      </c>
    </row>
    <row r="159" spans="1:26" ht="14.25" x14ac:dyDescent="0.2">
      <c r="A159" s="67"/>
      <c r="B159" s="68"/>
      <c r="C159" s="68" t="s">
        <v>243</v>
      </c>
      <c r="D159" s="47"/>
      <c r="E159" s="41"/>
      <c r="F159" s="48">
        <f>Source!AL113</f>
        <v>47.04</v>
      </c>
      <c r="G159" s="49" t="str">
        <f>Source!DD113</f>
        <v/>
      </c>
      <c r="H159" s="50">
        <f>ROUND((Source!AC113*Source!AW113)*Source!I113, 2)</f>
        <v>101.7</v>
      </c>
      <c r="I159" s="49"/>
      <c r="J159" s="49">
        <f>IF(Source!BC113&lt;&gt; 0, Source!BC113, 1)</f>
        <v>5.0199999999999996</v>
      </c>
      <c r="K159" s="50">
        <f>Source!P113</f>
        <v>510.54</v>
      </c>
      <c r="L159" s="51"/>
    </row>
    <row r="160" spans="1:26" ht="14.25" x14ac:dyDescent="0.2">
      <c r="A160" s="67"/>
      <c r="B160" s="68"/>
      <c r="C160" s="68" t="s">
        <v>237</v>
      </c>
      <c r="D160" s="47" t="s">
        <v>238</v>
      </c>
      <c r="E160" s="41">
        <f>Source!DN113</f>
        <v>112</v>
      </c>
      <c r="F160" s="71"/>
      <c r="G160" s="49"/>
      <c r="H160" s="50">
        <f>SUM(S155:S162)</f>
        <v>141.88999999999999</v>
      </c>
      <c r="I160" s="52"/>
      <c r="J160" s="45">
        <f>Source!AT113</f>
        <v>90</v>
      </c>
      <c r="K160" s="50">
        <f>SUM(T155:T162)</f>
        <v>1422.05</v>
      </c>
      <c r="L160" s="51"/>
    </row>
    <row r="161" spans="1:26" ht="14.25" x14ac:dyDescent="0.2">
      <c r="A161" s="67"/>
      <c r="B161" s="68"/>
      <c r="C161" s="68" t="s">
        <v>239</v>
      </c>
      <c r="D161" s="47" t="s">
        <v>238</v>
      </c>
      <c r="E161" s="41">
        <f>Source!DO113</f>
        <v>70</v>
      </c>
      <c r="F161" s="71"/>
      <c r="G161" s="49"/>
      <c r="H161" s="50">
        <f>SUM(U155:U162)</f>
        <v>88.68</v>
      </c>
      <c r="I161" s="52"/>
      <c r="J161" s="45">
        <f>Source!AU113</f>
        <v>43</v>
      </c>
      <c r="K161" s="50">
        <f>SUM(V155:V162)</f>
        <v>679.42</v>
      </c>
      <c r="L161" s="51"/>
    </row>
    <row r="162" spans="1:26" ht="14.25" x14ac:dyDescent="0.2">
      <c r="A162" s="69"/>
      <c r="B162" s="70"/>
      <c r="C162" s="70" t="s">
        <v>240</v>
      </c>
      <c r="D162" s="53" t="s">
        <v>241</v>
      </c>
      <c r="E162" s="54">
        <f>Source!AQ113</f>
        <v>3</v>
      </c>
      <c r="F162" s="55"/>
      <c r="G162" s="56" t="str">
        <f>Source!DI113</f>
        <v/>
      </c>
      <c r="H162" s="57"/>
      <c r="I162" s="56"/>
      <c r="J162" s="56"/>
      <c r="K162" s="57"/>
      <c r="L162" s="58">
        <f>Source!U113</f>
        <v>6.4019999999999992</v>
      </c>
    </row>
    <row r="163" spans="1:26" ht="15" x14ac:dyDescent="0.25">
      <c r="G163" s="59">
        <f>H156+H157+H159+H160+H161</f>
        <v>687.90000000000009</v>
      </c>
      <c r="H163" s="59"/>
      <c r="J163" s="59">
        <f>K156+K157+K159+K160+K161</f>
        <v>7011.68</v>
      </c>
      <c r="K163" s="59"/>
      <c r="L163" s="60">
        <f>Source!U113</f>
        <v>6.4019999999999992</v>
      </c>
      <c r="O163" s="36">
        <f>G163</f>
        <v>687.90000000000009</v>
      </c>
      <c r="P163" s="36">
        <f>J163</f>
        <v>7011.68</v>
      </c>
      <c r="Q163" s="36">
        <f>L163</f>
        <v>6.4019999999999992</v>
      </c>
      <c r="W163">
        <f>IF(Source!BI113&lt;=1,H156+H157+H159+H160+H161, 0)</f>
        <v>0</v>
      </c>
      <c r="X163">
        <f>IF(Source!BI113=2,H156+H157+H159+H160+H161, 0)</f>
        <v>687.90000000000009</v>
      </c>
      <c r="Y163">
        <f>IF(Source!BI113=3,H156+H157+H159+H160+H161, 0)</f>
        <v>0</v>
      </c>
      <c r="Z163">
        <f>IF(Source!BI113=4,H156+H157+H159+H160+H161, 0)</f>
        <v>0</v>
      </c>
    </row>
    <row r="164" spans="1:26" ht="14.25" x14ac:dyDescent="0.2">
      <c r="A164" s="67" t="str">
        <f>Source!E114</f>
        <v>2</v>
      </c>
      <c r="B164" s="68" t="str">
        <f>Source!F114</f>
        <v>2.1-8-3</v>
      </c>
      <c r="C164" s="68" t="str">
        <f>Source!G114</f>
        <v>АВТОЛАБОРАТОРИИ</v>
      </c>
      <c r="D164" s="47" t="str">
        <f>Source!H114</f>
        <v>маш.-ч</v>
      </c>
      <c r="E164" s="41">
        <f>Source!I114</f>
        <v>12</v>
      </c>
      <c r="F164" s="48">
        <f>Source!AL114+Source!AM114+Source!AO114</f>
        <v>128.38</v>
      </c>
      <c r="G164" s="49"/>
      <c r="H164" s="50"/>
      <c r="I164" s="49" t="str">
        <f>Source!BO114</f>
        <v>2.1-8-3</v>
      </c>
      <c r="J164" s="49"/>
      <c r="K164" s="50"/>
      <c r="L164" s="51"/>
      <c r="S164">
        <f>ROUND((Source!FX114/100)*((ROUND((Source!AF114*Source!AV114)*Source!I114, 2)+ROUND((Source!AE114*Source!AV114)*Source!I114, 2))), 2)</f>
        <v>0</v>
      </c>
      <c r="T164">
        <f>Source!X114</f>
        <v>0</v>
      </c>
      <c r="U164">
        <f>ROUND((Source!FY114/100)*((ROUND((Source!AF114*Source!AV114)*Source!I114, 2)+ROUND((Source!AE114*Source!AV114)*Source!I114, 2))), 2)</f>
        <v>0</v>
      </c>
      <c r="V164">
        <f>Source!Y114</f>
        <v>0</v>
      </c>
    </row>
    <row r="165" spans="1:26" ht="14.25" x14ac:dyDescent="0.2">
      <c r="A165" s="67"/>
      <c r="B165" s="68"/>
      <c r="C165" s="68" t="s">
        <v>94</v>
      </c>
      <c r="D165" s="47"/>
      <c r="E165" s="41"/>
      <c r="F165" s="48">
        <f>Source!AM114</f>
        <v>128.38</v>
      </c>
      <c r="G165" s="49" t="str">
        <f>Source!DE114</f>
        <v/>
      </c>
      <c r="H165" s="50">
        <f>ROUND((Source!AD114*Source!AV114)*Source!I114, 2)</f>
        <v>1540.56</v>
      </c>
      <c r="I165" s="49"/>
      <c r="J165" s="49">
        <f>IF(Source!BB114&lt;&gt; 0, Source!BB114, 1)</f>
        <v>10.09</v>
      </c>
      <c r="K165" s="50">
        <f>Source!Q114</f>
        <v>15544.25</v>
      </c>
      <c r="L165" s="51"/>
    </row>
    <row r="166" spans="1:26" ht="14.25" x14ac:dyDescent="0.2">
      <c r="A166" s="69"/>
      <c r="B166" s="70"/>
      <c r="C166" s="70" t="s">
        <v>242</v>
      </c>
      <c r="D166" s="53"/>
      <c r="E166" s="54"/>
      <c r="F166" s="55">
        <f>Source!AN114</f>
        <v>23.21</v>
      </c>
      <c r="G166" s="56" t="str">
        <f>Source!DF114</f>
        <v/>
      </c>
      <c r="H166" s="66">
        <f>ROUND((Source!AE114*Source!AV114)*Source!I114, 2)</f>
        <v>278.52</v>
      </c>
      <c r="I166" s="56"/>
      <c r="J166" s="56">
        <f>IF(Source!BS114&lt;&gt; 0, Source!BS114, 1)</f>
        <v>20.74</v>
      </c>
      <c r="K166" s="66">
        <f>Source!R114</f>
        <v>5776.5</v>
      </c>
      <c r="L166" s="61"/>
      <c r="R166">
        <f>H166</f>
        <v>278.52</v>
      </c>
    </row>
    <row r="167" spans="1:26" ht="15" x14ac:dyDescent="0.25">
      <c r="G167" s="59">
        <f>H165</f>
        <v>1540.56</v>
      </c>
      <c r="H167" s="59"/>
      <c r="J167" s="59">
        <f>K165</f>
        <v>15544.25</v>
      </c>
      <c r="K167" s="59"/>
      <c r="L167" s="60">
        <f>Source!U114</f>
        <v>0</v>
      </c>
      <c r="O167" s="36">
        <f>G167</f>
        <v>1540.56</v>
      </c>
      <c r="P167" s="36">
        <f>J167</f>
        <v>15544.25</v>
      </c>
      <c r="Q167" s="36">
        <f>L167</f>
        <v>0</v>
      </c>
      <c r="W167">
        <f>IF(Source!BI114&lt;=1,H165, 0)</f>
        <v>1540.56</v>
      </c>
      <c r="X167">
        <f>IF(Source!BI114=2,H165, 0)</f>
        <v>0</v>
      </c>
      <c r="Y167">
        <f>IF(Source!BI114=3,H165, 0)</f>
        <v>0</v>
      </c>
      <c r="Z167">
        <f>IF(Source!BI114=4,H165, 0)</f>
        <v>0</v>
      </c>
    </row>
    <row r="169" spans="1:26" ht="15" x14ac:dyDescent="0.25">
      <c r="A169" s="46" t="str">
        <f>CONCATENATE("Итого по разделу: ",IF(Source!G116&lt;&gt;"Новый раздел", Source!G116, ""))</f>
        <v>Итого по разделу: Пусконаладочные работы</v>
      </c>
      <c r="B169" s="46"/>
      <c r="C169" s="46"/>
      <c r="D169" s="46"/>
      <c r="E169" s="46"/>
      <c r="F169" s="46"/>
      <c r="G169" s="63">
        <f>SUM(O154:O168)</f>
        <v>2228.46</v>
      </c>
      <c r="H169" s="63"/>
      <c r="I169" s="43"/>
      <c r="J169" s="63">
        <f>SUM(P154:P168)</f>
        <v>22555.93</v>
      </c>
      <c r="K169" s="63"/>
      <c r="L169" s="60">
        <f>SUM(Q154:Q168)</f>
        <v>6.4019999999999992</v>
      </c>
    </row>
    <row r="173" spans="1:26" ht="15" x14ac:dyDescent="0.25">
      <c r="A173" s="46" t="str">
        <f>CONCATENATE("Итого по локальной смете: ",IF(Source!G145&lt;&gt;"Новая локальная смета", Source!G145, ""))</f>
        <v xml:space="preserve">Итого по локальной смете: </v>
      </c>
      <c r="B173" s="46"/>
      <c r="C173" s="46"/>
      <c r="D173" s="46"/>
      <c r="E173" s="46"/>
      <c r="F173" s="46"/>
      <c r="G173" s="63">
        <f>SUM(O30:O172)</f>
        <v>236641.15</v>
      </c>
      <c r="H173" s="63"/>
      <c r="I173" s="43"/>
      <c r="J173" s="63">
        <v>1225844</v>
      </c>
      <c r="K173" s="63"/>
      <c r="L173" s="60">
        <f>SUM(Q30:Q172)</f>
        <v>1127.342646674</v>
      </c>
    </row>
    <row r="175" spans="1:26" x14ac:dyDescent="0.2">
      <c r="A175" s="73" t="s">
        <v>249</v>
      </c>
      <c r="C175" s="73" t="s">
        <v>250</v>
      </c>
      <c r="K175">
        <f>J173*0.1</f>
        <v>122584.40000000001</v>
      </c>
    </row>
    <row r="177" spans="1:32" ht="15" x14ac:dyDescent="0.25">
      <c r="A177" s="46" t="str">
        <f>CONCATENATE("Итого по смете: ",IF(Source!G174&lt;&gt;"Новый объект", Source!G174, ""))</f>
        <v>Итого по смете: Строительство КЛ 0,4 кВ Москва  417 м</v>
      </c>
      <c r="B177" s="46"/>
      <c r="C177" s="46"/>
      <c r="D177" s="46"/>
      <c r="E177" s="46"/>
      <c r="F177" s="46"/>
      <c r="G177" s="63">
        <f>SUM(O1:O176)</f>
        <v>236641.15</v>
      </c>
      <c r="H177" s="63"/>
      <c r="I177" s="43"/>
      <c r="J177" s="63">
        <f>J173+K175</f>
        <v>1348428.4</v>
      </c>
      <c r="K177" s="63"/>
      <c r="L177" s="60">
        <f>SUM(Q1:Q176)</f>
        <v>1127.342646674</v>
      </c>
      <c r="AF177" s="72" t="str">
        <f>CONCATENATE("Итого по смете: ",IF(Source!G174&lt;&gt;"Новый объект", Source!G174, ""))</f>
        <v>Итого по смете: Строительство КЛ 0,4 кВ Москва  417 м</v>
      </c>
    </row>
    <row r="179" spans="1:32" ht="14.25" x14ac:dyDescent="0.2">
      <c r="C179" s="17" t="str">
        <f>Source!H202</f>
        <v>18%</v>
      </c>
      <c r="D179" s="17"/>
      <c r="E179" s="17"/>
      <c r="F179" s="17"/>
      <c r="G179" s="17"/>
      <c r="H179" s="17"/>
      <c r="I179" s="17"/>
      <c r="J179" s="28">
        <f>J177/118*18</f>
        <v>205692.46779661014</v>
      </c>
      <c r="K179" s="28"/>
    </row>
    <row r="180" spans="1:32" ht="14.25" x14ac:dyDescent="0.2">
      <c r="C180" s="17" t="str">
        <f>Source!H203</f>
        <v>с НДС</v>
      </c>
      <c r="D180" s="17"/>
      <c r="E180" s="17"/>
      <c r="F180" s="17"/>
      <c r="G180" s="17"/>
      <c r="H180" s="17"/>
      <c r="I180" s="17"/>
      <c r="J180" s="28">
        <f>J177+J179</f>
        <v>1554120.8677966101</v>
      </c>
      <c r="K180" s="28"/>
    </row>
    <row r="183" spans="1:32" ht="14.25" x14ac:dyDescent="0.2">
      <c r="A183" s="40" t="s">
        <v>244</v>
      </c>
      <c r="B183" s="40"/>
      <c r="C183" s="41" t="s">
        <v>245</v>
      </c>
      <c r="D183" s="37" t="str">
        <f>IF(Source!AC12&lt;&gt;"", Source!AC12," ")</f>
        <v xml:space="preserve"> </v>
      </c>
      <c r="E183" s="37"/>
      <c r="F183" s="37"/>
      <c r="G183" s="37"/>
      <c r="H183" s="37"/>
      <c r="I183" s="15" t="str">
        <f>IF(Source!AB12&lt;&gt;"", Source!AB12," ")</f>
        <v xml:space="preserve"> </v>
      </c>
      <c r="J183" s="15"/>
      <c r="K183" s="15"/>
      <c r="L183" s="15"/>
    </row>
    <row r="184" spans="1:32" ht="14.25" x14ac:dyDescent="0.2">
      <c r="A184" s="15"/>
      <c r="B184" s="15"/>
      <c r="C184" s="41"/>
      <c r="D184" s="42" t="s">
        <v>246</v>
      </c>
      <c r="E184" s="42"/>
      <c r="F184" s="42"/>
      <c r="G184" s="42"/>
      <c r="H184" s="42"/>
      <c r="I184" s="15"/>
      <c r="J184" s="15"/>
      <c r="K184" s="15"/>
      <c r="L184" s="15"/>
    </row>
    <row r="185" spans="1:32" ht="14.25" x14ac:dyDescent="0.2">
      <c r="A185" s="15"/>
      <c r="B185" s="15"/>
      <c r="C185" s="41"/>
      <c r="D185" s="15"/>
      <c r="E185" s="15"/>
      <c r="F185" s="15"/>
      <c r="G185" s="15"/>
      <c r="H185" s="15"/>
      <c r="I185" s="15"/>
      <c r="J185" s="15"/>
      <c r="K185" s="15"/>
      <c r="L185" s="15"/>
    </row>
    <row r="186" spans="1:32" ht="14.25" x14ac:dyDescent="0.2">
      <c r="A186" s="40" t="s">
        <v>244</v>
      </c>
      <c r="B186" s="40"/>
      <c r="C186" s="41" t="s">
        <v>247</v>
      </c>
      <c r="D186" s="37" t="str">
        <f>IF(Source!AE12&lt;&gt;"", Source!AE12," ")</f>
        <v xml:space="preserve"> </v>
      </c>
      <c r="E186" s="37"/>
      <c r="F186" s="37"/>
      <c r="G186" s="37"/>
      <c r="H186" s="37"/>
      <c r="I186" s="15" t="str">
        <f>IF(Source!AD12&lt;&gt;"", Source!AD12," ")</f>
        <v xml:space="preserve"> </v>
      </c>
      <c r="J186" s="15"/>
      <c r="K186" s="15"/>
      <c r="L186" s="15"/>
    </row>
    <row r="187" spans="1:32" ht="14.25" x14ac:dyDescent="0.2">
      <c r="A187" s="15"/>
      <c r="B187" s="15"/>
      <c r="C187" s="15"/>
      <c r="D187" s="42" t="s">
        <v>246</v>
      </c>
      <c r="E187" s="42"/>
      <c r="F187" s="42"/>
      <c r="G187" s="42"/>
      <c r="H187" s="42"/>
      <c r="I187" s="15"/>
      <c r="J187" s="15"/>
      <c r="K187" s="15"/>
      <c r="L187" s="15"/>
    </row>
    <row r="192" spans="1:32" x14ac:dyDescent="0.2">
      <c r="K192" s="74"/>
    </row>
    <row r="195" spans="3:3" x14ac:dyDescent="0.2">
      <c r="C195" s="9"/>
    </row>
  </sheetData>
  <mergeCells count="101">
    <mergeCell ref="J169:K169"/>
    <mergeCell ref="A169:F169"/>
    <mergeCell ref="J167:K167"/>
    <mergeCell ref="J114:K114"/>
    <mergeCell ref="G114:H114"/>
    <mergeCell ref="J104:K104"/>
    <mergeCell ref="G177:H177"/>
    <mergeCell ref="J177:K177"/>
    <mergeCell ref="A177:F177"/>
    <mergeCell ref="G173:H173"/>
    <mergeCell ref="J173:K173"/>
    <mergeCell ref="A173:F173"/>
    <mergeCell ref="G169:H169"/>
    <mergeCell ref="G138:H138"/>
    <mergeCell ref="J136:K136"/>
    <mergeCell ref="G136:H136"/>
    <mergeCell ref="J127:K127"/>
    <mergeCell ref="G127:H127"/>
    <mergeCell ref="J124:K124"/>
    <mergeCell ref="G124:H124"/>
    <mergeCell ref="A32:L32"/>
    <mergeCell ref="A30:L30"/>
    <mergeCell ref="G167:H167"/>
    <mergeCell ref="J163:K163"/>
    <mergeCell ref="G163:H163"/>
    <mergeCell ref="A154:L154"/>
    <mergeCell ref="G150:H150"/>
    <mergeCell ref="J150:K150"/>
    <mergeCell ref="A150:F150"/>
    <mergeCell ref="J148:K148"/>
    <mergeCell ref="J48:K48"/>
    <mergeCell ref="G48:H48"/>
    <mergeCell ref="J46:K46"/>
    <mergeCell ref="G46:H46"/>
    <mergeCell ref="J39:K39"/>
    <mergeCell ref="G39:H39"/>
    <mergeCell ref="J72:K72"/>
    <mergeCell ref="G72:H72"/>
    <mergeCell ref="J65:K65"/>
    <mergeCell ref="G65:H65"/>
    <mergeCell ref="J56:K56"/>
    <mergeCell ref="G56:H56"/>
    <mergeCell ref="D187:H187"/>
    <mergeCell ref="G104:H104"/>
    <mergeCell ref="J94:K94"/>
    <mergeCell ref="G94:H94"/>
    <mergeCell ref="A84:L84"/>
    <mergeCell ref="G80:H80"/>
    <mergeCell ref="J80:K80"/>
    <mergeCell ref="A80:F80"/>
    <mergeCell ref="G148:H148"/>
    <mergeCell ref="J138:K138"/>
    <mergeCell ref="A26:L26"/>
    <mergeCell ref="C179:I179"/>
    <mergeCell ref="J179:K179"/>
    <mergeCell ref="C180:I180"/>
    <mergeCell ref="J180:K180"/>
    <mergeCell ref="D184:H184"/>
    <mergeCell ref="J78:K78"/>
    <mergeCell ref="G78:H78"/>
    <mergeCell ref="J75:K75"/>
    <mergeCell ref="G75:H75"/>
    <mergeCell ref="C23:F23"/>
    <mergeCell ref="G23:H23"/>
    <mergeCell ref="I23:J23"/>
    <mergeCell ref="K23:L23"/>
    <mergeCell ref="C24:F24"/>
    <mergeCell ref="G24:H24"/>
    <mergeCell ref="I24:J24"/>
    <mergeCell ref="K24:L24"/>
    <mergeCell ref="C21:F21"/>
    <mergeCell ref="G21:H21"/>
    <mergeCell ref="I21:J21"/>
    <mergeCell ref="K21:L21"/>
    <mergeCell ref="C22:F22"/>
    <mergeCell ref="G22:H22"/>
    <mergeCell ref="I22:J22"/>
    <mergeCell ref="K22:L22"/>
    <mergeCell ref="C19:F19"/>
    <mergeCell ref="G19:H19"/>
    <mergeCell ref="I19:J19"/>
    <mergeCell ref="K19:L19"/>
    <mergeCell ref="C20:F20"/>
    <mergeCell ref="G20:H20"/>
    <mergeCell ref="I20:J20"/>
    <mergeCell ref="K20:L20"/>
    <mergeCell ref="B11:K11"/>
    <mergeCell ref="B12:K12"/>
    <mergeCell ref="A14:L14"/>
    <mergeCell ref="G17:H17"/>
    <mergeCell ref="I17:J17"/>
    <mergeCell ref="C18:F18"/>
    <mergeCell ref="G18:H18"/>
    <mergeCell ref="I18:J18"/>
    <mergeCell ref="K18:L18"/>
    <mergeCell ref="B2:K2"/>
    <mergeCell ref="B3:K3"/>
    <mergeCell ref="F5:G5"/>
    <mergeCell ref="H5:K5"/>
    <mergeCell ref="B7:K7"/>
    <mergeCell ref="B9:K9"/>
  </mergeCells>
  <pageMargins left="0.4" right="0.2" top="0.2" bottom="0.4" header="0.2" footer="0.2"/>
  <pageSetup paperSize="9" scale="60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213"/>
  <sheetViews>
    <sheetView workbookViewId="0">
      <selection activeCell="A209" sqref="A209:AA209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51927</v>
      </c>
      <c r="M1">
        <v>10</v>
      </c>
      <c r="N1">
        <v>10</v>
      </c>
      <c r="O1">
        <v>1</v>
      </c>
      <c r="P1">
        <v>0</v>
      </c>
      <c r="Q1">
        <v>8</v>
      </c>
    </row>
    <row r="12" spans="1:133" x14ac:dyDescent="0.2">
      <c r="A12" s="1">
        <v>1</v>
      </c>
      <c r="B12" s="1">
        <v>208</v>
      </c>
      <c r="C12" s="1">
        <v>0</v>
      </c>
      <c r="D12" s="1">
        <f>ROW(A174)</f>
        <v>174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157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48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B174</f>
        <v>208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объект_(Копия)</v>
      </c>
      <c r="G18" s="2" t="str">
        <f t="shared" si="0"/>
        <v>Строительство КЛ 0,4 кВ Москва  417 м</v>
      </c>
      <c r="H18" s="2"/>
      <c r="I18" s="2"/>
      <c r="J18" s="2"/>
      <c r="K18" s="2"/>
      <c r="L18" s="2"/>
      <c r="M18" s="2"/>
      <c r="N18" s="2"/>
      <c r="O18" s="2">
        <f t="shared" ref="O18:AT18" si="1">O174</f>
        <v>758229.83</v>
      </c>
      <c r="P18" s="2">
        <f t="shared" si="1"/>
        <v>338688.8</v>
      </c>
      <c r="Q18" s="2">
        <f t="shared" si="1"/>
        <v>156703.28</v>
      </c>
      <c r="R18" s="2">
        <f t="shared" si="1"/>
        <v>84683.78</v>
      </c>
      <c r="S18" s="2">
        <f t="shared" si="1"/>
        <v>262837.75</v>
      </c>
      <c r="T18" s="2">
        <f t="shared" si="1"/>
        <v>0</v>
      </c>
      <c r="U18" s="2">
        <f t="shared" si="1"/>
        <v>1127.342646674</v>
      </c>
      <c r="V18" s="2">
        <f t="shared" si="1"/>
        <v>0</v>
      </c>
      <c r="W18" s="2">
        <f t="shared" si="1"/>
        <v>0</v>
      </c>
      <c r="X18" s="2">
        <f t="shared" si="1"/>
        <v>225415.8</v>
      </c>
      <c r="Y18" s="2">
        <f t="shared" si="1"/>
        <v>109244.88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1225844.05</v>
      </c>
      <c r="AS18" s="2">
        <f t="shared" si="1"/>
        <v>591923.18999999994</v>
      </c>
      <c r="AT18" s="2">
        <f t="shared" si="1"/>
        <v>628231.19999999995</v>
      </c>
      <c r="AU18" s="2">
        <f t="shared" ref="AU18:BZ18" si="2">AU174</f>
        <v>5689.66</v>
      </c>
      <c r="AV18" s="2">
        <f t="shared" si="2"/>
        <v>338688.8</v>
      </c>
      <c r="AW18" s="2">
        <f t="shared" si="2"/>
        <v>338688.8</v>
      </c>
      <c r="AX18" s="2">
        <f t="shared" si="2"/>
        <v>0</v>
      </c>
      <c r="AY18" s="2">
        <f t="shared" si="2"/>
        <v>338688.8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CA174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DG174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EM174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FS174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ROW(A145)</f>
        <v>145</v>
      </c>
      <c r="E20" s="1"/>
      <c r="F20" s="1" t="s">
        <v>12</v>
      </c>
      <c r="G20" s="1" t="s">
        <v>12</v>
      </c>
      <c r="H20" s="1" t="s">
        <v>3</v>
      </c>
      <c r="I20" s="1">
        <v>0</v>
      </c>
      <c r="J20" s="1" t="s">
        <v>3</v>
      </c>
      <c r="K20" s="1">
        <v>0</v>
      </c>
      <c r="L20" s="1" t="s">
        <v>3</v>
      </c>
      <c r="M20" s="1"/>
      <c r="N20" s="1"/>
      <c r="O20" s="1"/>
      <c r="P20" s="1"/>
      <c r="Q20" s="1"/>
      <c r="R20" s="1"/>
      <c r="S20" s="1"/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</row>
    <row r="22" spans="1:245" x14ac:dyDescent="0.2">
      <c r="A22" s="2">
        <v>52</v>
      </c>
      <c r="B22" s="2">
        <f t="shared" ref="B22:G22" si="7">B145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O145</f>
        <v>758229.83</v>
      </c>
      <c r="P22" s="2">
        <f t="shared" si="8"/>
        <v>338688.8</v>
      </c>
      <c r="Q22" s="2">
        <f t="shared" si="8"/>
        <v>156703.28</v>
      </c>
      <c r="R22" s="2">
        <f t="shared" si="8"/>
        <v>84683.78</v>
      </c>
      <c r="S22" s="2">
        <f t="shared" si="8"/>
        <v>262837.75</v>
      </c>
      <c r="T22" s="2">
        <f t="shared" si="8"/>
        <v>0</v>
      </c>
      <c r="U22" s="2">
        <f t="shared" si="8"/>
        <v>1127.342646674</v>
      </c>
      <c r="V22" s="2">
        <f t="shared" si="8"/>
        <v>0</v>
      </c>
      <c r="W22" s="2">
        <f t="shared" si="8"/>
        <v>0</v>
      </c>
      <c r="X22" s="2">
        <f t="shared" si="8"/>
        <v>225415.8</v>
      </c>
      <c r="Y22" s="2">
        <f t="shared" si="8"/>
        <v>109244.88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1225844.05</v>
      </c>
      <c r="AS22" s="2">
        <f t="shared" si="8"/>
        <v>591923.18999999994</v>
      </c>
      <c r="AT22" s="2">
        <f t="shared" si="8"/>
        <v>628231.19999999995</v>
      </c>
      <c r="AU22" s="2">
        <f t="shared" ref="AU22:BZ22" si="9">AU145</f>
        <v>5689.66</v>
      </c>
      <c r="AV22" s="2">
        <f t="shared" si="9"/>
        <v>338688.8</v>
      </c>
      <c r="AW22" s="2">
        <f t="shared" si="9"/>
        <v>338688.8</v>
      </c>
      <c r="AX22" s="2">
        <f t="shared" si="9"/>
        <v>0</v>
      </c>
      <c r="AY22" s="2">
        <f t="shared" si="9"/>
        <v>338688.8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CA145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DG145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EM145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FS145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ROW(A37)</f>
        <v>37</v>
      </c>
      <c r="E24" s="1"/>
      <c r="F24" s="1" t="s">
        <v>13</v>
      </c>
      <c r="G24" s="1" t="s">
        <v>14</v>
      </c>
      <c r="H24" s="1" t="s">
        <v>3</v>
      </c>
      <c r="I24" s="1">
        <v>0</v>
      </c>
      <c r="J24" s="1"/>
      <c r="K24" s="1">
        <v>0</v>
      </c>
      <c r="L24" s="1"/>
      <c r="M24" s="1"/>
      <c r="N24" s="1"/>
      <c r="O24" s="1"/>
      <c r="P24" s="1"/>
      <c r="Q24" s="1"/>
      <c r="R24" s="1"/>
      <c r="S24" s="1"/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B37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Общестроительные работы</v>
      </c>
      <c r="H26" s="2"/>
      <c r="I26" s="2"/>
      <c r="J26" s="2"/>
      <c r="K26" s="2"/>
      <c r="L26" s="2"/>
      <c r="M26" s="2"/>
      <c r="N26" s="2"/>
      <c r="O26" s="2">
        <f t="shared" ref="O26:AT26" si="15">O37</f>
        <v>279636.08</v>
      </c>
      <c r="P26" s="2">
        <f t="shared" si="15"/>
        <v>36775.9</v>
      </c>
      <c r="Q26" s="2">
        <f t="shared" si="15"/>
        <v>28631.82</v>
      </c>
      <c r="R26" s="2">
        <f t="shared" si="15"/>
        <v>14874.66</v>
      </c>
      <c r="S26" s="2">
        <f t="shared" si="15"/>
        <v>214228.36</v>
      </c>
      <c r="T26" s="2">
        <f t="shared" si="15"/>
        <v>0</v>
      </c>
      <c r="U26" s="2">
        <f t="shared" si="15"/>
        <v>935.63304233400004</v>
      </c>
      <c r="V26" s="2">
        <f t="shared" si="15"/>
        <v>0</v>
      </c>
      <c r="W26" s="2">
        <f t="shared" si="15"/>
        <v>0</v>
      </c>
      <c r="X26" s="2">
        <f t="shared" si="15"/>
        <v>181667.35</v>
      </c>
      <c r="Y26" s="2">
        <f t="shared" si="15"/>
        <v>88342.84</v>
      </c>
      <c r="Z26" s="2">
        <f t="shared" si="15"/>
        <v>0</v>
      </c>
      <c r="AA26" s="2">
        <f t="shared" si="15"/>
        <v>0</v>
      </c>
      <c r="AB26" s="2">
        <f t="shared" si="15"/>
        <v>279636.08</v>
      </c>
      <c r="AC26" s="2">
        <f t="shared" si="15"/>
        <v>36775.9</v>
      </c>
      <c r="AD26" s="2">
        <f t="shared" si="15"/>
        <v>28631.82</v>
      </c>
      <c r="AE26" s="2">
        <f t="shared" si="15"/>
        <v>14874.66</v>
      </c>
      <c r="AF26" s="2">
        <f t="shared" si="15"/>
        <v>214228.36</v>
      </c>
      <c r="AG26" s="2">
        <f t="shared" si="15"/>
        <v>0</v>
      </c>
      <c r="AH26" s="2">
        <f t="shared" si="15"/>
        <v>935.63304233400004</v>
      </c>
      <c r="AI26" s="2">
        <f t="shared" si="15"/>
        <v>0</v>
      </c>
      <c r="AJ26" s="2">
        <f t="shared" si="15"/>
        <v>0</v>
      </c>
      <c r="AK26" s="2">
        <f t="shared" si="15"/>
        <v>181667.35</v>
      </c>
      <c r="AL26" s="2">
        <f t="shared" si="15"/>
        <v>88342.84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572999.49</v>
      </c>
      <c r="AS26" s="2">
        <f t="shared" si="15"/>
        <v>567309.82999999996</v>
      </c>
      <c r="AT26" s="2">
        <f t="shared" si="15"/>
        <v>0</v>
      </c>
      <c r="AU26" s="2">
        <f t="shared" ref="AU26:BZ26" si="16">AU37</f>
        <v>5689.66</v>
      </c>
      <c r="AV26" s="2">
        <f t="shared" si="16"/>
        <v>36775.9</v>
      </c>
      <c r="AW26" s="2">
        <f t="shared" si="16"/>
        <v>36775.9</v>
      </c>
      <c r="AX26" s="2">
        <f t="shared" si="16"/>
        <v>0</v>
      </c>
      <c r="AY26" s="2">
        <f t="shared" si="16"/>
        <v>36775.9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CA37</f>
        <v>572999.49</v>
      </c>
      <c r="CB26" s="2">
        <f t="shared" si="17"/>
        <v>567309.82999999996</v>
      </c>
      <c r="CC26" s="2">
        <f t="shared" si="17"/>
        <v>0</v>
      </c>
      <c r="CD26" s="2">
        <f t="shared" si="17"/>
        <v>5689.66</v>
      </c>
      <c r="CE26" s="2">
        <f t="shared" si="17"/>
        <v>36775.9</v>
      </c>
      <c r="CF26" s="2">
        <f t="shared" si="17"/>
        <v>36775.9</v>
      </c>
      <c r="CG26" s="2">
        <f t="shared" si="17"/>
        <v>0</v>
      </c>
      <c r="CH26" s="2">
        <f t="shared" si="17"/>
        <v>36775.9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DG37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EM37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FS37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ROW(SmtRes!A1)</f>
        <v>1</v>
      </c>
      <c r="D28">
        <f>ROW(EtalonRes!A1)</f>
        <v>1</v>
      </c>
      <c r="E28" t="s">
        <v>15</v>
      </c>
      <c r="F28" t="s">
        <v>16</v>
      </c>
      <c r="G28" t="s">
        <v>17</v>
      </c>
      <c r="H28" t="s">
        <v>18</v>
      </c>
      <c r="I28">
        <f>ROUND(186.4/100,9)</f>
        <v>1.8640000000000001</v>
      </c>
      <c r="J28">
        <v>0</v>
      </c>
      <c r="O28">
        <f t="shared" ref="O28:O35" si="21">ROUND(CP28,2)</f>
        <v>143424.25</v>
      </c>
      <c r="P28">
        <f t="shared" ref="P28:P35" si="22">ROUND(CQ28*I28,2)</f>
        <v>0</v>
      </c>
      <c r="Q28">
        <f t="shared" ref="Q28:Q35" si="23">ROUND(CR28*I28,2)</f>
        <v>0</v>
      </c>
      <c r="R28">
        <f t="shared" ref="R28:R35" si="24">ROUND(CS28*I28,2)</f>
        <v>0</v>
      </c>
      <c r="S28">
        <f t="shared" ref="S28:S35" si="25">ROUND(CT28*I28,2)</f>
        <v>143424.25</v>
      </c>
      <c r="T28">
        <f t="shared" ref="T28:T35" si="26">ROUND(CU28*I28,2)</f>
        <v>0</v>
      </c>
      <c r="U28">
        <f t="shared" ref="U28:U35" si="27">CV28*I28</f>
        <v>595.63612992000003</v>
      </c>
      <c r="V28">
        <f t="shared" ref="V28:V35" si="28">CW28*I28</f>
        <v>0</v>
      </c>
      <c r="W28">
        <f t="shared" ref="W28:W35" si="29">ROUND(CX28*I28,2)</f>
        <v>0</v>
      </c>
      <c r="X28">
        <f t="shared" ref="X28:Y35" si="30">ROUND(CY28,2)</f>
        <v>121910.61</v>
      </c>
      <c r="Y28">
        <f t="shared" si="30"/>
        <v>58803.94</v>
      </c>
      <c r="AA28">
        <v>35678934</v>
      </c>
      <c r="AB28">
        <f t="shared" ref="AB28:AB35" si="31">ROUND((AC28+AD28+AF28),6)</f>
        <v>2972.7154999999998</v>
      </c>
      <c r="AC28">
        <f t="shared" ref="AC28:AC35" si="32">ROUND((ES28),6)</f>
        <v>0</v>
      </c>
      <c r="AD28">
        <f t="shared" ref="AD28:AF29" si="33">ROUND(((ET28*1.15)),6)</f>
        <v>0</v>
      </c>
      <c r="AE28">
        <f t="shared" si="33"/>
        <v>0</v>
      </c>
      <c r="AF28">
        <f t="shared" si="33"/>
        <v>2972.7154999999998</v>
      </c>
      <c r="AG28">
        <f t="shared" ref="AG28:AG35" si="34">ROUND((AP28),6)</f>
        <v>0</v>
      </c>
      <c r="AH28">
        <f>((EW28*1.15))</f>
        <v>256.04750000000001</v>
      </c>
      <c r="AI28">
        <f>((EX28*1.15))</f>
        <v>0</v>
      </c>
      <c r="AJ28">
        <f t="shared" ref="AJ28:AJ35" si="35">(AS28)</f>
        <v>0</v>
      </c>
      <c r="AK28">
        <v>2584.9699999999998</v>
      </c>
      <c r="AL28">
        <v>0</v>
      </c>
      <c r="AM28">
        <v>0</v>
      </c>
      <c r="AN28">
        <v>0</v>
      </c>
      <c r="AO28">
        <v>2584.9699999999998</v>
      </c>
      <c r="AP28">
        <v>0</v>
      </c>
      <c r="AQ28">
        <v>222.65</v>
      </c>
      <c r="AR28">
        <v>0</v>
      </c>
      <c r="AS28">
        <v>0</v>
      </c>
      <c r="AT28">
        <v>85</v>
      </c>
      <c r="AU28">
        <v>41</v>
      </c>
      <c r="AV28">
        <v>1.248</v>
      </c>
      <c r="AW28">
        <v>1</v>
      </c>
      <c r="AZ28">
        <v>1</v>
      </c>
      <c r="BA28">
        <v>20.74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19</v>
      </c>
      <c r="BM28">
        <v>16</v>
      </c>
      <c r="BN28">
        <v>0</v>
      </c>
      <c r="BO28" t="s">
        <v>16</v>
      </c>
      <c r="BP28">
        <v>1</v>
      </c>
      <c r="BQ28">
        <v>30</v>
      </c>
      <c r="BR28">
        <v>0</v>
      </c>
      <c r="BS28">
        <v>20.74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85</v>
      </c>
      <c r="CA28">
        <v>41</v>
      </c>
      <c r="CE28">
        <v>0</v>
      </c>
      <c r="CF28">
        <v>0</v>
      </c>
      <c r="CG28">
        <v>0</v>
      </c>
      <c r="CM28">
        <v>0</v>
      </c>
      <c r="CN28" t="s">
        <v>20</v>
      </c>
      <c r="CO28">
        <v>0</v>
      </c>
      <c r="CP28">
        <f t="shared" ref="CP28:CP35" si="36">(P28+Q28+S28)</f>
        <v>143424.25</v>
      </c>
      <c r="CQ28">
        <f t="shared" ref="CQ28:CQ35" si="37">(AC28*BC28*AW28)</f>
        <v>0</v>
      </c>
      <c r="CR28">
        <f t="shared" ref="CR28:CR35" si="38">(AD28*BB28*AV28)</f>
        <v>0</v>
      </c>
      <c r="CS28">
        <f t="shared" ref="CS28:CS35" si="39">(AE28*BS28*AV28)</f>
        <v>0</v>
      </c>
      <c r="CT28">
        <f t="shared" ref="CT28:CT35" si="40">(AF28*BA28*AV28)</f>
        <v>76944.341098559991</v>
      </c>
      <c r="CU28">
        <f t="shared" ref="CU28:CU35" si="41">AG28</f>
        <v>0</v>
      </c>
      <c r="CV28">
        <f t="shared" ref="CV28:CV35" si="42">(AH28*AV28)</f>
        <v>319.54728</v>
      </c>
      <c r="CW28">
        <f t="shared" ref="CW28:CX35" si="43">AI28</f>
        <v>0</v>
      </c>
      <c r="CX28">
        <f t="shared" si="43"/>
        <v>0</v>
      </c>
      <c r="CY28">
        <f t="shared" ref="CY28:CY35" si="44">S28*(BZ28/100)</f>
        <v>121910.6125</v>
      </c>
      <c r="CZ28">
        <f t="shared" ref="CZ28:CZ35" si="45">S28*(CA28/100)</f>
        <v>58803.942499999997</v>
      </c>
      <c r="DC28" t="s">
        <v>3</v>
      </c>
      <c r="DD28" t="s">
        <v>3</v>
      </c>
      <c r="DE28" t="s">
        <v>21</v>
      </c>
      <c r="DF28" t="s">
        <v>21</v>
      </c>
      <c r="DG28" t="s">
        <v>21</v>
      </c>
      <c r="DH28" t="s">
        <v>3</v>
      </c>
      <c r="DI28" t="s">
        <v>21</v>
      </c>
      <c r="DJ28" t="s">
        <v>21</v>
      </c>
      <c r="DK28" t="s">
        <v>3</v>
      </c>
      <c r="DL28" t="s">
        <v>3</v>
      </c>
      <c r="DM28" t="s">
        <v>3</v>
      </c>
      <c r="DN28">
        <v>105</v>
      </c>
      <c r="DO28">
        <v>77</v>
      </c>
      <c r="DP28">
        <v>1.248</v>
      </c>
      <c r="DQ28">
        <v>1</v>
      </c>
      <c r="DU28">
        <v>1007</v>
      </c>
      <c r="DV28" t="s">
        <v>18</v>
      </c>
      <c r="DW28" t="s">
        <v>18</v>
      </c>
      <c r="DX28">
        <v>100</v>
      </c>
      <c r="EE28">
        <v>35103879</v>
      </c>
      <c r="EF28">
        <v>30</v>
      </c>
      <c r="EG28" t="s">
        <v>22</v>
      </c>
      <c r="EH28">
        <v>0</v>
      </c>
      <c r="EI28" t="s">
        <v>3</v>
      </c>
      <c r="EJ28">
        <v>1</v>
      </c>
      <c r="EK28">
        <v>16</v>
      </c>
      <c r="EL28" t="s">
        <v>23</v>
      </c>
      <c r="EM28" t="s">
        <v>24</v>
      </c>
      <c r="EO28" t="s">
        <v>25</v>
      </c>
      <c r="EQ28">
        <v>0</v>
      </c>
      <c r="ER28">
        <v>2584.9699999999998</v>
      </c>
      <c r="ES28">
        <v>0</v>
      </c>
      <c r="ET28">
        <v>0</v>
      </c>
      <c r="EU28">
        <v>0</v>
      </c>
      <c r="EV28">
        <v>2584.9699999999998</v>
      </c>
      <c r="EW28">
        <v>222.65</v>
      </c>
      <c r="EX28">
        <v>0</v>
      </c>
      <c r="EY28">
        <v>0</v>
      </c>
      <c r="FQ28">
        <v>0</v>
      </c>
      <c r="FR28">
        <f t="shared" ref="FR28:FR35" si="46">ROUND(IF(AND(BH28=3,BI28=3),P28,0),2)</f>
        <v>0</v>
      </c>
      <c r="FS28">
        <v>0</v>
      </c>
      <c r="FX28">
        <v>105</v>
      </c>
      <c r="FY28">
        <v>77</v>
      </c>
      <c r="GA28" t="s">
        <v>3</v>
      </c>
      <c r="GD28">
        <v>0</v>
      </c>
      <c r="GF28">
        <v>191000422</v>
      </c>
      <c r="GG28">
        <v>2</v>
      </c>
      <c r="GH28">
        <v>1</v>
      </c>
      <c r="GI28">
        <v>2</v>
      </c>
      <c r="GJ28">
        <v>0</v>
      </c>
      <c r="GK28">
        <f>ROUND(R28*(R12)/100,2)</f>
        <v>0</v>
      </c>
      <c r="GL28">
        <f t="shared" ref="GL28:GL35" si="47">ROUND(IF(AND(BH28=3,BI28=3,FS28&lt;&gt;0),P28,0),2)</f>
        <v>0</v>
      </c>
      <c r="GM28">
        <f t="shared" ref="GM28:GM35" si="48">ROUND(O28+X28+Y28+GK28,2)+GX28</f>
        <v>324138.8</v>
      </c>
      <c r="GN28">
        <f t="shared" ref="GN28:GN35" si="49">IF(OR(BI28=0,BI28=1),ROUND(O28+X28+Y28+GK28,2),0)</f>
        <v>324138.8</v>
      </c>
      <c r="GO28">
        <f t="shared" ref="GO28:GO35" si="50">IF(BI28=2,ROUND(O28+X28+Y28+GK28,2),0)</f>
        <v>0</v>
      </c>
      <c r="GP28">
        <f t="shared" ref="GP28:GP35" si="51">IF(BI28=4,ROUND(O28+X28+Y28+GK28,2)+GX28,0)</f>
        <v>0</v>
      </c>
      <c r="GR28">
        <v>0</v>
      </c>
      <c r="GS28">
        <v>3</v>
      </c>
      <c r="GT28">
        <v>0</v>
      </c>
      <c r="GU28" t="s">
        <v>3</v>
      </c>
      <c r="GV28">
        <f t="shared" ref="GV28:GV35" si="52">ROUND((GT28),6)</f>
        <v>0</v>
      </c>
      <c r="GW28">
        <v>1</v>
      </c>
      <c r="GX28">
        <f t="shared" ref="GX28:GX35" si="53">ROUND(HC28*I28,2)</f>
        <v>0</v>
      </c>
      <c r="HA28">
        <v>0</v>
      </c>
      <c r="HB28">
        <v>0</v>
      </c>
      <c r="HC28">
        <f t="shared" ref="HC28:HC35" si="54">GV28*GW28</f>
        <v>0</v>
      </c>
      <c r="IK28">
        <v>0</v>
      </c>
    </row>
    <row r="29" spans="1:245" x14ac:dyDescent="0.2">
      <c r="A29">
        <v>17</v>
      </c>
      <c r="B29">
        <v>1</v>
      </c>
      <c r="C29">
        <f>ROW(SmtRes!A2)</f>
        <v>2</v>
      </c>
      <c r="D29">
        <f>ROW(EtalonRes!A2)</f>
        <v>2</v>
      </c>
      <c r="E29" t="s">
        <v>26</v>
      </c>
      <c r="F29" t="s">
        <v>27</v>
      </c>
      <c r="G29" t="s">
        <v>28</v>
      </c>
      <c r="H29" t="s">
        <v>18</v>
      </c>
      <c r="I29">
        <f>ROUND(186.3/100,9)</f>
        <v>1.863</v>
      </c>
      <c r="J29">
        <v>0</v>
      </c>
      <c r="O29">
        <f t="shared" si="21"/>
        <v>58289.52</v>
      </c>
      <c r="P29">
        <f t="shared" si="22"/>
        <v>0</v>
      </c>
      <c r="Q29">
        <f t="shared" si="23"/>
        <v>0</v>
      </c>
      <c r="R29">
        <f t="shared" si="24"/>
        <v>0</v>
      </c>
      <c r="S29">
        <f t="shared" si="25"/>
        <v>58289.52</v>
      </c>
      <c r="T29">
        <f t="shared" si="26"/>
        <v>0</v>
      </c>
      <c r="U29">
        <f t="shared" si="27"/>
        <v>286.201154304</v>
      </c>
      <c r="V29">
        <f t="shared" si="28"/>
        <v>0</v>
      </c>
      <c r="W29">
        <f t="shared" si="29"/>
        <v>0</v>
      </c>
      <c r="X29">
        <f t="shared" si="30"/>
        <v>49546.09</v>
      </c>
      <c r="Y29">
        <f t="shared" si="30"/>
        <v>23898.7</v>
      </c>
      <c r="AA29">
        <v>35678934</v>
      </c>
      <c r="AB29">
        <f t="shared" si="31"/>
        <v>1208.7995000000001</v>
      </c>
      <c r="AC29">
        <f t="shared" si="32"/>
        <v>0</v>
      </c>
      <c r="AD29">
        <f t="shared" si="33"/>
        <v>0</v>
      </c>
      <c r="AE29">
        <f t="shared" si="33"/>
        <v>0</v>
      </c>
      <c r="AF29">
        <f t="shared" si="33"/>
        <v>1208.7995000000001</v>
      </c>
      <c r="AG29">
        <f t="shared" si="34"/>
        <v>0</v>
      </c>
      <c r="AH29">
        <f>((EW29*1.15))</f>
        <v>123.096</v>
      </c>
      <c r="AI29">
        <f>((EX29*1.15))</f>
        <v>0</v>
      </c>
      <c r="AJ29">
        <f t="shared" si="35"/>
        <v>0</v>
      </c>
      <c r="AK29">
        <v>1051.1300000000001</v>
      </c>
      <c r="AL29">
        <v>0</v>
      </c>
      <c r="AM29">
        <v>0</v>
      </c>
      <c r="AN29">
        <v>0</v>
      </c>
      <c r="AO29">
        <v>1051.1300000000001</v>
      </c>
      <c r="AP29">
        <v>0</v>
      </c>
      <c r="AQ29">
        <v>107.04</v>
      </c>
      <c r="AR29">
        <v>0</v>
      </c>
      <c r="AS29">
        <v>0</v>
      </c>
      <c r="AT29">
        <v>85</v>
      </c>
      <c r="AU29">
        <v>41</v>
      </c>
      <c r="AV29">
        <v>1.248</v>
      </c>
      <c r="AW29">
        <v>1</v>
      </c>
      <c r="AZ29">
        <v>1</v>
      </c>
      <c r="BA29">
        <v>20.74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1</v>
      </c>
      <c r="BJ29" t="s">
        <v>29</v>
      </c>
      <c r="BM29">
        <v>16</v>
      </c>
      <c r="BN29">
        <v>0</v>
      </c>
      <c r="BO29" t="s">
        <v>27</v>
      </c>
      <c r="BP29">
        <v>1</v>
      </c>
      <c r="BQ29">
        <v>30</v>
      </c>
      <c r="BR29">
        <v>0</v>
      </c>
      <c r="BS29">
        <v>20.74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85</v>
      </c>
      <c r="CA29">
        <v>41</v>
      </c>
      <c r="CE29">
        <v>0</v>
      </c>
      <c r="CF29">
        <v>0</v>
      </c>
      <c r="CG29">
        <v>0</v>
      </c>
      <c r="CM29">
        <v>0</v>
      </c>
      <c r="CN29" t="s">
        <v>20</v>
      </c>
      <c r="CO29">
        <v>0</v>
      </c>
      <c r="CP29">
        <f t="shared" si="36"/>
        <v>58289.52</v>
      </c>
      <c r="CQ29">
        <f t="shared" si="37"/>
        <v>0</v>
      </c>
      <c r="CR29">
        <f t="shared" si="38"/>
        <v>0</v>
      </c>
      <c r="CS29">
        <f t="shared" si="39"/>
        <v>0</v>
      </c>
      <c r="CT29">
        <f t="shared" si="40"/>
        <v>31287.986034239999</v>
      </c>
      <c r="CU29">
        <f t="shared" si="41"/>
        <v>0</v>
      </c>
      <c r="CV29">
        <f t="shared" si="42"/>
        <v>153.623808</v>
      </c>
      <c r="CW29">
        <f t="shared" si="43"/>
        <v>0</v>
      </c>
      <c r="CX29">
        <f t="shared" si="43"/>
        <v>0</v>
      </c>
      <c r="CY29">
        <f t="shared" si="44"/>
        <v>49546.091999999997</v>
      </c>
      <c r="CZ29">
        <f t="shared" si="45"/>
        <v>23898.703199999996</v>
      </c>
      <c r="DC29" t="s">
        <v>3</v>
      </c>
      <c r="DD29" t="s">
        <v>3</v>
      </c>
      <c r="DE29" t="s">
        <v>21</v>
      </c>
      <c r="DF29" t="s">
        <v>21</v>
      </c>
      <c r="DG29" t="s">
        <v>21</v>
      </c>
      <c r="DH29" t="s">
        <v>3</v>
      </c>
      <c r="DI29" t="s">
        <v>21</v>
      </c>
      <c r="DJ29" t="s">
        <v>21</v>
      </c>
      <c r="DK29" t="s">
        <v>3</v>
      </c>
      <c r="DL29" t="s">
        <v>3</v>
      </c>
      <c r="DM29" t="s">
        <v>3</v>
      </c>
      <c r="DN29">
        <v>105</v>
      </c>
      <c r="DO29">
        <v>77</v>
      </c>
      <c r="DP29">
        <v>1.248</v>
      </c>
      <c r="DQ29">
        <v>1</v>
      </c>
      <c r="DU29">
        <v>1007</v>
      </c>
      <c r="DV29" t="s">
        <v>18</v>
      </c>
      <c r="DW29" t="s">
        <v>18</v>
      </c>
      <c r="DX29">
        <v>100</v>
      </c>
      <c r="EE29">
        <v>35103879</v>
      </c>
      <c r="EF29">
        <v>30</v>
      </c>
      <c r="EG29" t="s">
        <v>22</v>
      </c>
      <c r="EH29">
        <v>0</v>
      </c>
      <c r="EI29" t="s">
        <v>3</v>
      </c>
      <c r="EJ29">
        <v>1</v>
      </c>
      <c r="EK29">
        <v>16</v>
      </c>
      <c r="EL29" t="s">
        <v>23</v>
      </c>
      <c r="EM29" t="s">
        <v>24</v>
      </c>
      <c r="EO29" t="s">
        <v>25</v>
      </c>
      <c r="EQ29">
        <v>0</v>
      </c>
      <c r="ER29">
        <v>1051.1300000000001</v>
      </c>
      <c r="ES29">
        <v>0</v>
      </c>
      <c r="ET29">
        <v>0</v>
      </c>
      <c r="EU29">
        <v>0</v>
      </c>
      <c r="EV29">
        <v>1051.1300000000001</v>
      </c>
      <c r="EW29">
        <v>107.04</v>
      </c>
      <c r="EX29">
        <v>0</v>
      </c>
      <c r="EY29">
        <v>0</v>
      </c>
      <c r="FQ29">
        <v>0</v>
      </c>
      <c r="FR29">
        <f t="shared" si="46"/>
        <v>0</v>
      </c>
      <c r="FS29">
        <v>0</v>
      </c>
      <c r="FX29">
        <v>105</v>
      </c>
      <c r="FY29">
        <v>77</v>
      </c>
      <c r="GA29" t="s">
        <v>3</v>
      </c>
      <c r="GD29">
        <v>0</v>
      </c>
      <c r="GF29">
        <v>2092501538</v>
      </c>
      <c r="GG29">
        <v>2</v>
      </c>
      <c r="GH29">
        <v>1</v>
      </c>
      <c r="GI29">
        <v>2</v>
      </c>
      <c r="GJ29">
        <v>0</v>
      </c>
      <c r="GK29">
        <f>ROUND(R29*(R12)/100,2)</f>
        <v>0</v>
      </c>
      <c r="GL29">
        <f t="shared" si="47"/>
        <v>0</v>
      </c>
      <c r="GM29">
        <f t="shared" si="48"/>
        <v>131734.31</v>
      </c>
      <c r="GN29">
        <f t="shared" si="49"/>
        <v>131734.31</v>
      </c>
      <c r="GO29">
        <f t="shared" si="50"/>
        <v>0</v>
      </c>
      <c r="GP29">
        <f t="shared" si="51"/>
        <v>0</v>
      </c>
      <c r="GR29">
        <v>0</v>
      </c>
      <c r="GS29">
        <v>3</v>
      </c>
      <c r="GT29">
        <v>0</v>
      </c>
      <c r="GU29" t="s">
        <v>3</v>
      </c>
      <c r="GV29">
        <f t="shared" si="52"/>
        <v>0</v>
      </c>
      <c r="GW29">
        <v>1</v>
      </c>
      <c r="GX29">
        <f t="shared" si="53"/>
        <v>0</v>
      </c>
      <c r="HA29">
        <v>0</v>
      </c>
      <c r="HB29">
        <v>0</v>
      </c>
      <c r="HC29">
        <f t="shared" si="54"/>
        <v>0</v>
      </c>
      <c r="IK29">
        <v>0</v>
      </c>
    </row>
    <row r="30" spans="1:245" x14ac:dyDescent="0.2">
      <c r="A30">
        <v>17</v>
      </c>
      <c r="B30">
        <v>1</v>
      </c>
      <c r="E30" t="s">
        <v>30</v>
      </c>
      <c r="F30" t="s">
        <v>31</v>
      </c>
      <c r="G30" t="s">
        <v>32</v>
      </c>
      <c r="H30" t="s">
        <v>33</v>
      </c>
      <c r="I30">
        <v>62.55</v>
      </c>
      <c r="J30">
        <v>0</v>
      </c>
      <c r="O30">
        <f t="shared" si="21"/>
        <v>36775.9</v>
      </c>
      <c r="P30">
        <f t="shared" si="22"/>
        <v>36775.9</v>
      </c>
      <c r="Q30">
        <f t="shared" si="23"/>
        <v>0</v>
      </c>
      <c r="R30">
        <f t="shared" si="24"/>
        <v>0</v>
      </c>
      <c r="S30">
        <f t="shared" si="25"/>
        <v>0</v>
      </c>
      <c r="T30">
        <f t="shared" si="26"/>
        <v>0</v>
      </c>
      <c r="U30">
        <f t="shared" si="27"/>
        <v>0</v>
      </c>
      <c r="V30">
        <f t="shared" si="28"/>
        <v>0</v>
      </c>
      <c r="W30">
        <f t="shared" si="29"/>
        <v>0</v>
      </c>
      <c r="X30">
        <f t="shared" si="30"/>
        <v>0</v>
      </c>
      <c r="Y30">
        <f t="shared" si="30"/>
        <v>0</v>
      </c>
      <c r="AA30">
        <v>35678934</v>
      </c>
      <c r="AB30">
        <f t="shared" si="31"/>
        <v>104.99</v>
      </c>
      <c r="AC30">
        <f t="shared" si="32"/>
        <v>104.99</v>
      </c>
      <c r="AD30">
        <f t="shared" ref="AD30:AF31" si="55">ROUND((ET30),6)</f>
        <v>0</v>
      </c>
      <c r="AE30">
        <f t="shared" si="55"/>
        <v>0</v>
      </c>
      <c r="AF30">
        <f t="shared" si="55"/>
        <v>0</v>
      </c>
      <c r="AG30">
        <f t="shared" si="34"/>
        <v>0</v>
      </c>
      <c r="AH30">
        <f>(EW30)</f>
        <v>0</v>
      </c>
      <c r="AI30">
        <f>(EX30)</f>
        <v>0</v>
      </c>
      <c r="AJ30">
        <f t="shared" si="35"/>
        <v>0</v>
      </c>
      <c r="AK30">
        <v>104.99</v>
      </c>
      <c r="AL30">
        <v>104.99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5.6</v>
      </c>
      <c r="BD30" t="s">
        <v>3</v>
      </c>
      <c r="BE30" t="s">
        <v>3</v>
      </c>
      <c r="BF30" t="s">
        <v>3</v>
      </c>
      <c r="BG30" t="s">
        <v>3</v>
      </c>
      <c r="BH30">
        <v>3</v>
      </c>
      <c r="BI30">
        <v>1</v>
      </c>
      <c r="BJ30" t="s">
        <v>34</v>
      </c>
      <c r="BM30">
        <v>1617</v>
      </c>
      <c r="BN30">
        <v>0</v>
      </c>
      <c r="BO30" t="s">
        <v>31</v>
      </c>
      <c r="BP30">
        <v>1</v>
      </c>
      <c r="BQ30">
        <v>200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0</v>
      </c>
      <c r="CA30">
        <v>0</v>
      </c>
      <c r="CE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36"/>
        <v>36775.9</v>
      </c>
      <c r="CQ30">
        <f t="shared" si="37"/>
        <v>587.94399999999996</v>
      </c>
      <c r="CR30">
        <f t="shared" si="38"/>
        <v>0</v>
      </c>
      <c r="CS30">
        <f t="shared" si="39"/>
        <v>0</v>
      </c>
      <c r="CT30">
        <f t="shared" si="40"/>
        <v>0</v>
      </c>
      <c r="CU30">
        <f t="shared" si="41"/>
        <v>0</v>
      </c>
      <c r="CV30">
        <f t="shared" si="42"/>
        <v>0</v>
      </c>
      <c r="CW30">
        <f t="shared" si="43"/>
        <v>0</v>
      </c>
      <c r="CX30">
        <f t="shared" si="43"/>
        <v>0</v>
      </c>
      <c r="CY30">
        <f t="shared" si="44"/>
        <v>0</v>
      </c>
      <c r="CZ30">
        <f t="shared" si="45"/>
        <v>0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1007</v>
      </c>
      <c r="DV30" t="s">
        <v>33</v>
      </c>
      <c r="DW30" t="s">
        <v>33</v>
      </c>
      <c r="DX30">
        <v>1</v>
      </c>
      <c r="EE30">
        <v>35105480</v>
      </c>
      <c r="EF30">
        <v>200</v>
      </c>
      <c r="EG30" t="s">
        <v>35</v>
      </c>
      <c r="EH30">
        <v>0</v>
      </c>
      <c r="EI30" t="s">
        <v>3</v>
      </c>
      <c r="EJ30">
        <v>1</v>
      </c>
      <c r="EK30">
        <v>1617</v>
      </c>
      <c r="EL30" t="s">
        <v>36</v>
      </c>
      <c r="EM30" t="s">
        <v>37</v>
      </c>
      <c r="EO30" t="s">
        <v>3</v>
      </c>
      <c r="EQ30">
        <v>0</v>
      </c>
      <c r="ER30">
        <v>104.99</v>
      </c>
      <c r="ES30">
        <v>104.99</v>
      </c>
      <c r="ET30">
        <v>0</v>
      </c>
      <c r="EU30">
        <v>0</v>
      </c>
      <c r="EV30">
        <v>0</v>
      </c>
      <c r="EW30">
        <v>0</v>
      </c>
      <c r="EX30">
        <v>0</v>
      </c>
      <c r="EY30">
        <v>0</v>
      </c>
      <c r="FQ30">
        <v>0</v>
      </c>
      <c r="FR30">
        <f t="shared" si="46"/>
        <v>0</v>
      </c>
      <c r="FS30">
        <v>0</v>
      </c>
      <c r="FX30">
        <v>0</v>
      </c>
      <c r="FY30">
        <v>0</v>
      </c>
      <c r="GA30" t="s">
        <v>3</v>
      </c>
      <c r="GD30">
        <v>0</v>
      </c>
      <c r="GF30">
        <v>-419971176</v>
      </c>
      <c r="GG30">
        <v>2</v>
      </c>
      <c r="GH30">
        <v>1</v>
      </c>
      <c r="GI30">
        <v>2</v>
      </c>
      <c r="GJ30">
        <v>0</v>
      </c>
      <c r="GK30">
        <f>ROUND(R30*(R12)/100,2)</f>
        <v>0</v>
      </c>
      <c r="GL30">
        <f t="shared" si="47"/>
        <v>0</v>
      </c>
      <c r="GM30">
        <f t="shared" si="48"/>
        <v>36775.9</v>
      </c>
      <c r="GN30">
        <f t="shared" si="49"/>
        <v>36775.9</v>
      </c>
      <c r="GO30">
        <f t="shared" si="50"/>
        <v>0</v>
      </c>
      <c r="GP30">
        <f t="shared" si="51"/>
        <v>0</v>
      </c>
      <c r="GR30">
        <v>0</v>
      </c>
      <c r="GS30">
        <v>3</v>
      </c>
      <c r="GT30">
        <v>0</v>
      </c>
      <c r="GU30" t="s">
        <v>3</v>
      </c>
      <c r="GV30">
        <f t="shared" si="52"/>
        <v>0</v>
      </c>
      <c r="GW30">
        <v>1</v>
      </c>
      <c r="GX30">
        <f t="shared" si="53"/>
        <v>0</v>
      </c>
      <c r="HA30">
        <v>0</v>
      </c>
      <c r="HB30">
        <v>0</v>
      </c>
      <c r="HC30">
        <f t="shared" si="54"/>
        <v>0</v>
      </c>
      <c r="IK30">
        <v>0</v>
      </c>
    </row>
    <row r="31" spans="1:245" x14ac:dyDescent="0.2">
      <c r="A31">
        <v>17</v>
      </c>
      <c r="B31">
        <v>1</v>
      </c>
      <c r="C31">
        <f>ROW(SmtRes!A4)</f>
        <v>4</v>
      </c>
      <c r="D31">
        <f>ROW(EtalonRes!A4)</f>
        <v>4</v>
      </c>
      <c r="E31" t="s">
        <v>38</v>
      </c>
      <c r="F31" t="s">
        <v>39</v>
      </c>
      <c r="G31" t="s">
        <v>40</v>
      </c>
      <c r="H31" t="s">
        <v>41</v>
      </c>
      <c r="I31">
        <v>18</v>
      </c>
      <c r="J31">
        <v>0</v>
      </c>
      <c r="O31">
        <f t="shared" si="21"/>
        <v>12234.86</v>
      </c>
      <c r="P31">
        <f t="shared" si="22"/>
        <v>0</v>
      </c>
      <c r="Q31">
        <f t="shared" si="23"/>
        <v>7024.62</v>
      </c>
      <c r="R31">
        <f t="shared" si="24"/>
        <v>5737.91</v>
      </c>
      <c r="S31">
        <f t="shared" si="25"/>
        <v>5210.24</v>
      </c>
      <c r="T31">
        <f t="shared" si="26"/>
        <v>0</v>
      </c>
      <c r="U31">
        <f t="shared" si="27"/>
        <v>21.107520000000001</v>
      </c>
      <c r="V31">
        <f t="shared" si="28"/>
        <v>0</v>
      </c>
      <c r="W31">
        <f t="shared" si="29"/>
        <v>0</v>
      </c>
      <c r="X31">
        <f t="shared" si="30"/>
        <v>3803.48</v>
      </c>
      <c r="Y31">
        <f t="shared" si="30"/>
        <v>2136.1999999999998</v>
      </c>
      <c r="AA31">
        <v>35678934</v>
      </c>
      <c r="AB31">
        <f t="shared" si="31"/>
        <v>69.72</v>
      </c>
      <c r="AC31">
        <f t="shared" si="32"/>
        <v>0</v>
      </c>
      <c r="AD31">
        <f t="shared" si="55"/>
        <v>56.39</v>
      </c>
      <c r="AE31">
        <f t="shared" si="55"/>
        <v>14.68</v>
      </c>
      <c r="AF31">
        <f t="shared" si="55"/>
        <v>13.33</v>
      </c>
      <c r="AG31">
        <f t="shared" si="34"/>
        <v>0</v>
      </c>
      <c r="AH31">
        <f>(EW31)</f>
        <v>1.1200000000000001</v>
      </c>
      <c r="AI31">
        <f>(EX31)</f>
        <v>0</v>
      </c>
      <c r="AJ31">
        <f t="shared" si="35"/>
        <v>0</v>
      </c>
      <c r="AK31">
        <v>69.72</v>
      </c>
      <c r="AL31">
        <v>0</v>
      </c>
      <c r="AM31">
        <v>56.39</v>
      </c>
      <c r="AN31">
        <v>14.68</v>
      </c>
      <c r="AO31">
        <v>13.33</v>
      </c>
      <c r="AP31">
        <v>0</v>
      </c>
      <c r="AQ31">
        <v>1.1200000000000001</v>
      </c>
      <c r="AR31">
        <v>0</v>
      </c>
      <c r="AS31">
        <v>0</v>
      </c>
      <c r="AT31">
        <v>73</v>
      </c>
      <c r="AU31">
        <v>41</v>
      </c>
      <c r="AV31">
        <v>1.0469999999999999</v>
      </c>
      <c r="AW31">
        <v>1.002</v>
      </c>
      <c r="AZ31">
        <v>1</v>
      </c>
      <c r="BA31">
        <v>20.74</v>
      </c>
      <c r="BB31">
        <v>6.61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1</v>
      </c>
      <c r="BJ31" t="s">
        <v>42</v>
      </c>
      <c r="BM31">
        <v>644</v>
      </c>
      <c r="BN31">
        <v>0</v>
      </c>
      <c r="BO31" t="s">
        <v>39</v>
      </c>
      <c r="BP31">
        <v>1</v>
      </c>
      <c r="BQ31">
        <v>60</v>
      </c>
      <c r="BR31">
        <v>0</v>
      </c>
      <c r="BS31">
        <v>20.74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73</v>
      </c>
      <c r="CA31">
        <v>41</v>
      </c>
      <c r="CE31">
        <v>0</v>
      </c>
      <c r="CF31">
        <v>0</v>
      </c>
      <c r="CG31">
        <v>0</v>
      </c>
      <c r="CM31">
        <v>0</v>
      </c>
      <c r="CN31" t="s">
        <v>43</v>
      </c>
      <c r="CO31">
        <v>0</v>
      </c>
      <c r="CP31">
        <f t="shared" si="36"/>
        <v>12234.86</v>
      </c>
      <c r="CQ31">
        <f t="shared" si="37"/>
        <v>0</v>
      </c>
      <c r="CR31">
        <f t="shared" si="38"/>
        <v>390.25658129999999</v>
      </c>
      <c r="CS31">
        <f t="shared" si="39"/>
        <v>318.77297039999996</v>
      </c>
      <c r="CT31">
        <f t="shared" si="40"/>
        <v>289.45801739999996</v>
      </c>
      <c r="CU31">
        <f t="shared" si="41"/>
        <v>0</v>
      </c>
      <c r="CV31">
        <f t="shared" si="42"/>
        <v>1.1726400000000001</v>
      </c>
      <c r="CW31">
        <f t="shared" si="43"/>
        <v>0</v>
      </c>
      <c r="CX31">
        <f t="shared" si="43"/>
        <v>0</v>
      </c>
      <c r="CY31">
        <f t="shared" si="44"/>
        <v>3803.4751999999999</v>
      </c>
      <c r="CZ31">
        <f t="shared" si="45"/>
        <v>2136.1983999999998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91</v>
      </c>
      <c r="DO31">
        <v>70</v>
      </c>
      <c r="DP31">
        <v>1.0469999999999999</v>
      </c>
      <c r="DQ31">
        <v>1.002</v>
      </c>
      <c r="DU31">
        <v>1009</v>
      </c>
      <c r="DV31" t="s">
        <v>41</v>
      </c>
      <c r="DW31" t="s">
        <v>41</v>
      </c>
      <c r="DX31">
        <v>1000</v>
      </c>
      <c r="EE31">
        <v>35104507</v>
      </c>
      <c r="EF31">
        <v>60</v>
      </c>
      <c r="EG31" t="s">
        <v>44</v>
      </c>
      <c r="EH31">
        <v>0</v>
      </c>
      <c r="EI31" t="s">
        <v>3</v>
      </c>
      <c r="EJ31">
        <v>1</v>
      </c>
      <c r="EK31">
        <v>644</v>
      </c>
      <c r="EL31" t="s">
        <v>45</v>
      </c>
      <c r="EM31" t="s">
        <v>46</v>
      </c>
      <c r="EO31" t="s">
        <v>47</v>
      </c>
      <c r="EQ31">
        <v>0</v>
      </c>
      <c r="ER31">
        <v>69.72</v>
      </c>
      <c r="ES31">
        <v>0</v>
      </c>
      <c r="ET31">
        <v>56.39</v>
      </c>
      <c r="EU31">
        <v>14.68</v>
      </c>
      <c r="EV31">
        <v>13.33</v>
      </c>
      <c r="EW31">
        <v>1.1200000000000001</v>
      </c>
      <c r="EX31">
        <v>0</v>
      </c>
      <c r="EY31">
        <v>0</v>
      </c>
      <c r="FQ31">
        <v>0</v>
      </c>
      <c r="FR31">
        <f t="shared" si="46"/>
        <v>0</v>
      </c>
      <c r="FS31">
        <v>0</v>
      </c>
      <c r="FX31">
        <v>91</v>
      </c>
      <c r="FY31">
        <v>70</v>
      </c>
      <c r="GA31" t="s">
        <v>3</v>
      </c>
      <c r="GD31">
        <v>0</v>
      </c>
      <c r="GF31">
        <v>2132180428</v>
      </c>
      <c r="GG31">
        <v>2</v>
      </c>
      <c r="GH31">
        <v>1</v>
      </c>
      <c r="GI31">
        <v>2</v>
      </c>
      <c r="GJ31">
        <v>0</v>
      </c>
      <c r="GK31">
        <f>ROUND(R31*(R12)/100,2)</f>
        <v>9008.52</v>
      </c>
      <c r="GL31">
        <f t="shared" si="47"/>
        <v>0</v>
      </c>
      <c r="GM31">
        <f t="shared" si="48"/>
        <v>27183.06</v>
      </c>
      <c r="GN31">
        <f t="shared" si="49"/>
        <v>27183.06</v>
      </c>
      <c r="GO31">
        <f t="shared" si="50"/>
        <v>0</v>
      </c>
      <c r="GP31">
        <f t="shared" si="51"/>
        <v>0</v>
      </c>
      <c r="GR31">
        <v>0</v>
      </c>
      <c r="GS31">
        <v>3</v>
      </c>
      <c r="GT31">
        <v>0</v>
      </c>
      <c r="GU31" t="s">
        <v>3</v>
      </c>
      <c r="GV31">
        <f t="shared" si="52"/>
        <v>0</v>
      </c>
      <c r="GW31">
        <v>1</v>
      </c>
      <c r="GX31">
        <f t="shared" si="53"/>
        <v>0</v>
      </c>
      <c r="HA31">
        <v>0</v>
      </c>
      <c r="HB31">
        <v>0</v>
      </c>
      <c r="HC31">
        <f t="shared" si="54"/>
        <v>0</v>
      </c>
      <c r="IK31">
        <v>0</v>
      </c>
    </row>
    <row r="32" spans="1:245" x14ac:dyDescent="0.2">
      <c r="A32">
        <v>17</v>
      </c>
      <c r="B32">
        <v>1</v>
      </c>
      <c r="C32">
        <f>ROW(SmtRes!A7)</f>
        <v>7</v>
      </c>
      <c r="D32">
        <f>ROW(EtalonRes!A7)</f>
        <v>7</v>
      </c>
      <c r="E32" t="s">
        <v>48</v>
      </c>
      <c r="F32" t="s">
        <v>49</v>
      </c>
      <c r="G32" t="s">
        <v>50</v>
      </c>
      <c r="H32" t="s">
        <v>18</v>
      </c>
      <c r="I32">
        <f>ROUND(187.65/100,9)</f>
        <v>1.8765000000000001</v>
      </c>
      <c r="J32">
        <v>0</v>
      </c>
      <c r="O32">
        <f t="shared" si="21"/>
        <v>21575.41</v>
      </c>
      <c r="P32">
        <f t="shared" si="22"/>
        <v>0</v>
      </c>
      <c r="Q32">
        <f t="shared" si="23"/>
        <v>15917.54</v>
      </c>
      <c r="R32">
        <f t="shared" si="24"/>
        <v>9136.75</v>
      </c>
      <c r="S32">
        <f t="shared" si="25"/>
        <v>5657.87</v>
      </c>
      <c r="T32">
        <f t="shared" si="26"/>
        <v>0</v>
      </c>
      <c r="U32">
        <f t="shared" si="27"/>
        <v>24.401518109999998</v>
      </c>
      <c r="V32">
        <f t="shared" si="28"/>
        <v>0</v>
      </c>
      <c r="W32">
        <f t="shared" si="29"/>
        <v>0</v>
      </c>
      <c r="X32">
        <f t="shared" si="30"/>
        <v>5205.24</v>
      </c>
      <c r="Y32">
        <f t="shared" si="30"/>
        <v>2828.94</v>
      </c>
      <c r="AA32">
        <v>35678934</v>
      </c>
      <c r="AB32">
        <f t="shared" si="31"/>
        <v>879.41650000000004</v>
      </c>
      <c r="AC32">
        <f t="shared" si="32"/>
        <v>0</v>
      </c>
      <c r="AD32">
        <f>ROUND(((ET32*1.15)),6)</f>
        <v>740.56550000000004</v>
      </c>
      <c r="AE32">
        <f>ROUND(((EU32*1.15)),6)</f>
        <v>224.227</v>
      </c>
      <c r="AF32">
        <f>ROUND(((EV32*1.15)),6)</f>
        <v>138.851</v>
      </c>
      <c r="AG32">
        <f t="shared" si="34"/>
        <v>0</v>
      </c>
      <c r="AH32">
        <f>((EW32*1.15))</f>
        <v>12.42</v>
      </c>
      <c r="AI32">
        <f>((EX32*1.15))</f>
        <v>0</v>
      </c>
      <c r="AJ32">
        <f t="shared" si="35"/>
        <v>0</v>
      </c>
      <c r="AK32">
        <v>764.71</v>
      </c>
      <c r="AL32">
        <v>0</v>
      </c>
      <c r="AM32">
        <v>643.97</v>
      </c>
      <c r="AN32">
        <v>194.98</v>
      </c>
      <c r="AO32">
        <v>120.74</v>
      </c>
      <c r="AP32">
        <v>0</v>
      </c>
      <c r="AQ32">
        <v>10.8</v>
      </c>
      <c r="AR32">
        <v>0</v>
      </c>
      <c r="AS32">
        <v>0</v>
      </c>
      <c r="AT32">
        <v>92</v>
      </c>
      <c r="AU32">
        <v>50</v>
      </c>
      <c r="AV32">
        <v>1.0469999999999999</v>
      </c>
      <c r="AW32">
        <v>1</v>
      </c>
      <c r="AZ32">
        <v>1</v>
      </c>
      <c r="BA32">
        <v>20.74</v>
      </c>
      <c r="BB32">
        <v>10.94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1</v>
      </c>
      <c r="BJ32" t="s">
        <v>51</v>
      </c>
      <c r="BM32">
        <v>10</v>
      </c>
      <c r="BN32">
        <v>0</v>
      </c>
      <c r="BO32" t="s">
        <v>49</v>
      </c>
      <c r="BP32">
        <v>1</v>
      </c>
      <c r="BQ32">
        <v>30</v>
      </c>
      <c r="BR32">
        <v>0</v>
      </c>
      <c r="BS32">
        <v>20.74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92</v>
      </c>
      <c r="CA32">
        <v>50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36"/>
        <v>21575.41</v>
      </c>
      <c r="CQ32">
        <f t="shared" si="37"/>
        <v>0</v>
      </c>
      <c r="CR32">
        <f t="shared" si="38"/>
        <v>8482.5705387899998</v>
      </c>
      <c r="CS32">
        <f t="shared" si="39"/>
        <v>4869.0399750599991</v>
      </c>
      <c r="CT32">
        <f t="shared" si="40"/>
        <v>3015.1189177799997</v>
      </c>
      <c r="CU32">
        <f t="shared" si="41"/>
        <v>0</v>
      </c>
      <c r="CV32">
        <f t="shared" si="42"/>
        <v>13.003739999999999</v>
      </c>
      <c r="CW32">
        <f t="shared" si="43"/>
        <v>0</v>
      </c>
      <c r="CX32">
        <f t="shared" si="43"/>
        <v>0</v>
      </c>
      <c r="CY32">
        <f t="shared" si="44"/>
        <v>5205.2403999999997</v>
      </c>
      <c r="CZ32">
        <f t="shared" si="45"/>
        <v>2828.9349999999999</v>
      </c>
      <c r="DC32" t="s">
        <v>3</v>
      </c>
      <c r="DD32" t="s">
        <v>3</v>
      </c>
      <c r="DE32" t="s">
        <v>21</v>
      </c>
      <c r="DF32" t="s">
        <v>21</v>
      </c>
      <c r="DG32" t="s">
        <v>21</v>
      </c>
      <c r="DH32" t="s">
        <v>3</v>
      </c>
      <c r="DI32" t="s">
        <v>21</v>
      </c>
      <c r="DJ32" t="s">
        <v>21</v>
      </c>
      <c r="DK32" t="s">
        <v>3</v>
      </c>
      <c r="DL32" t="s">
        <v>3</v>
      </c>
      <c r="DM32" t="s">
        <v>3</v>
      </c>
      <c r="DN32">
        <v>98</v>
      </c>
      <c r="DO32">
        <v>77</v>
      </c>
      <c r="DP32">
        <v>1.0469999999999999</v>
      </c>
      <c r="DQ32">
        <v>1</v>
      </c>
      <c r="DU32">
        <v>1007</v>
      </c>
      <c r="DV32" t="s">
        <v>18</v>
      </c>
      <c r="DW32" t="s">
        <v>18</v>
      </c>
      <c r="DX32">
        <v>100</v>
      </c>
      <c r="EE32">
        <v>35103873</v>
      </c>
      <c r="EF32">
        <v>30</v>
      </c>
      <c r="EG32" t="s">
        <v>22</v>
      </c>
      <c r="EH32">
        <v>0</v>
      </c>
      <c r="EI32" t="s">
        <v>3</v>
      </c>
      <c r="EJ32">
        <v>1</v>
      </c>
      <c r="EK32">
        <v>10</v>
      </c>
      <c r="EL32" t="s">
        <v>52</v>
      </c>
      <c r="EM32" t="s">
        <v>53</v>
      </c>
      <c r="EO32" t="s">
        <v>3</v>
      </c>
      <c r="EQ32">
        <v>0</v>
      </c>
      <c r="ER32">
        <v>764.71</v>
      </c>
      <c r="ES32">
        <v>0</v>
      </c>
      <c r="ET32">
        <v>643.97</v>
      </c>
      <c r="EU32">
        <v>194.98</v>
      </c>
      <c r="EV32">
        <v>120.74</v>
      </c>
      <c r="EW32">
        <v>10.8</v>
      </c>
      <c r="EX32">
        <v>0</v>
      </c>
      <c r="EY32">
        <v>0</v>
      </c>
      <c r="FQ32">
        <v>0</v>
      </c>
      <c r="FR32">
        <f t="shared" si="46"/>
        <v>0</v>
      </c>
      <c r="FS32">
        <v>0</v>
      </c>
      <c r="FX32">
        <v>98</v>
      </c>
      <c r="FY32">
        <v>77</v>
      </c>
      <c r="GA32" t="s">
        <v>3</v>
      </c>
      <c r="GD32">
        <v>0</v>
      </c>
      <c r="GF32">
        <v>1474646355</v>
      </c>
      <c r="GG32">
        <v>2</v>
      </c>
      <c r="GH32">
        <v>1</v>
      </c>
      <c r="GI32">
        <v>2</v>
      </c>
      <c r="GJ32">
        <v>0</v>
      </c>
      <c r="GK32">
        <f>ROUND(R32*(R12)/100,2)</f>
        <v>14344.7</v>
      </c>
      <c r="GL32">
        <f t="shared" si="47"/>
        <v>0</v>
      </c>
      <c r="GM32">
        <f t="shared" si="48"/>
        <v>43954.29</v>
      </c>
      <c r="GN32">
        <f t="shared" si="49"/>
        <v>43954.29</v>
      </c>
      <c r="GO32">
        <f t="shared" si="50"/>
        <v>0</v>
      </c>
      <c r="GP32">
        <f t="shared" si="51"/>
        <v>0</v>
      </c>
      <c r="GR32">
        <v>0</v>
      </c>
      <c r="GS32">
        <v>0</v>
      </c>
      <c r="GT32">
        <v>0</v>
      </c>
      <c r="GU32" t="s">
        <v>3</v>
      </c>
      <c r="GV32">
        <f t="shared" si="52"/>
        <v>0</v>
      </c>
      <c r="GW32">
        <v>1</v>
      </c>
      <c r="GX32">
        <f t="shared" si="53"/>
        <v>0</v>
      </c>
      <c r="HA32">
        <v>0</v>
      </c>
      <c r="HB32">
        <v>0</v>
      </c>
      <c r="HC32">
        <f t="shared" si="54"/>
        <v>0</v>
      </c>
      <c r="IK32">
        <v>0</v>
      </c>
    </row>
    <row r="33" spans="1:245" x14ac:dyDescent="0.2">
      <c r="A33">
        <v>17</v>
      </c>
      <c r="B33">
        <v>1</v>
      </c>
      <c r="C33">
        <f>ROW(SmtRes!A8)</f>
        <v>8</v>
      </c>
      <c r="D33">
        <f>ROW(EtalonRes!A8)</f>
        <v>8</v>
      </c>
      <c r="E33" t="s">
        <v>54</v>
      </c>
      <c r="F33" t="s">
        <v>55</v>
      </c>
      <c r="G33" t="s">
        <v>56</v>
      </c>
      <c r="H33" t="s">
        <v>18</v>
      </c>
      <c r="I33">
        <f>ROUND(8/100,9)</f>
        <v>0.08</v>
      </c>
      <c r="J33">
        <v>0</v>
      </c>
      <c r="O33">
        <f t="shared" si="21"/>
        <v>1646.48</v>
      </c>
      <c r="P33">
        <f t="shared" si="22"/>
        <v>0</v>
      </c>
      <c r="Q33">
        <f t="shared" si="23"/>
        <v>0</v>
      </c>
      <c r="R33">
        <f t="shared" si="24"/>
        <v>0</v>
      </c>
      <c r="S33">
        <f t="shared" si="25"/>
        <v>1646.48</v>
      </c>
      <c r="T33">
        <f t="shared" si="26"/>
        <v>0</v>
      </c>
      <c r="U33">
        <f t="shared" si="27"/>
        <v>8.2867200000000008</v>
      </c>
      <c r="V33">
        <f t="shared" si="28"/>
        <v>0</v>
      </c>
      <c r="W33">
        <f t="shared" si="29"/>
        <v>0</v>
      </c>
      <c r="X33">
        <f t="shared" si="30"/>
        <v>1201.93</v>
      </c>
      <c r="Y33">
        <f t="shared" si="30"/>
        <v>675.06</v>
      </c>
      <c r="AA33">
        <v>35678934</v>
      </c>
      <c r="AB33">
        <f t="shared" si="31"/>
        <v>795.14</v>
      </c>
      <c r="AC33">
        <f t="shared" si="32"/>
        <v>0</v>
      </c>
      <c r="AD33">
        <f t="shared" ref="AD33:AF35" si="56">ROUND((ET33),6)</f>
        <v>0</v>
      </c>
      <c r="AE33">
        <f t="shared" si="56"/>
        <v>0</v>
      </c>
      <c r="AF33">
        <f t="shared" si="56"/>
        <v>795.14</v>
      </c>
      <c r="AG33">
        <f t="shared" si="34"/>
        <v>0</v>
      </c>
      <c r="AH33">
        <f t="shared" ref="AH33:AI35" si="57">(EW33)</f>
        <v>83</v>
      </c>
      <c r="AI33">
        <f t="shared" si="57"/>
        <v>0</v>
      </c>
      <c r="AJ33">
        <f t="shared" si="35"/>
        <v>0</v>
      </c>
      <c r="AK33">
        <v>795.14</v>
      </c>
      <c r="AL33">
        <v>0</v>
      </c>
      <c r="AM33">
        <v>0</v>
      </c>
      <c r="AN33">
        <v>0</v>
      </c>
      <c r="AO33">
        <v>795.14</v>
      </c>
      <c r="AP33">
        <v>0</v>
      </c>
      <c r="AQ33">
        <v>83</v>
      </c>
      <c r="AR33">
        <v>0</v>
      </c>
      <c r="AS33">
        <v>0</v>
      </c>
      <c r="AT33">
        <v>73</v>
      </c>
      <c r="AU33">
        <v>41</v>
      </c>
      <c r="AV33">
        <v>1.248</v>
      </c>
      <c r="AW33">
        <v>1</v>
      </c>
      <c r="AZ33">
        <v>1</v>
      </c>
      <c r="BA33">
        <v>20.74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1</v>
      </c>
      <c r="BJ33" t="s">
        <v>57</v>
      </c>
      <c r="BM33">
        <v>393</v>
      </c>
      <c r="BN33">
        <v>0</v>
      </c>
      <c r="BO33" t="s">
        <v>55</v>
      </c>
      <c r="BP33">
        <v>1</v>
      </c>
      <c r="BQ33">
        <v>60</v>
      </c>
      <c r="BR33">
        <v>0</v>
      </c>
      <c r="BS33">
        <v>20.74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73</v>
      </c>
      <c r="CA33">
        <v>41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36"/>
        <v>1646.48</v>
      </c>
      <c r="CQ33">
        <f t="shared" si="37"/>
        <v>0</v>
      </c>
      <c r="CR33">
        <f t="shared" si="38"/>
        <v>0</v>
      </c>
      <c r="CS33">
        <f t="shared" si="39"/>
        <v>0</v>
      </c>
      <c r="CT33">
        <f t="shared" si="40"/>
        <v>20581.022092799998</v>
      </c>
      <c r="CU33">
        <f t="shared" si="41"/>
        <v>0</v>
      </c>
      <c r="CV33">
        <f t="shared" si="42"/>
        <v>103.584</v>
      </c>
      <c r="CW33">
        <f t="shared" si="43"/>
        <v>0</v>
      </c>
      <c r="CX33">
        <f t="shared" si="43"/>
        <v>0</v>
      </c>
      <c r="CY33">
        <f t="shared" si="44"/>
        <v>1201.9304</v>
      </c>
      <c r="CZ33">
        <f t="shared" si="45"/>
        <v>675.05679999999995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91</v>
      </c>
      <c r="DO33">
        <v>67</v>
      </c>
      <c r="DP33">
        <v>1.248</v>
      </c>
      <c r="DQ33">
        <v>1</v>
      </c>
      <c r="DU33">
        <v>1007</v>
      </c>
      <c r="DV33" t="s">
        <v>18</v>
      </c>
      <c r="DW33" t="s">
        <v>18</v>
      </c>
      <c r="DX33">
        <v>100</v>
      </c>
      <c r="EE33">
        <v>35104256</v>
      </c>
      <c r="EF33">
        <v>60</v>
      </c>
      <c r="EG33" t="s">
        <v>44</v>
      </c>
      <c r="EH33">
        <v>0</v>
      </c>
      <c r="EI33" t="s">
        <v>3</v>
      </c>
      <c r="EJ33">
        <v>1</v>
      </c>
      <c r="EK33">
        <v>393</v>
      </c>
      <c r="EL33" t="s">
        <v>58</v>
      </c>
      <c r="EM33" t="s">
        <v>59</v>
      </c>
      <c r="EO33" t="s">
        <v>3</v>
      </c>
      <c r="EQ33">
        <v>0</v>
      </c>
      <c r="ER33">
        <v>795.14</v>
      </c>
      <c r="ES33">
        <v>0</v>
      </c>
      <c r="ET33">
        <v>0</v>
      </c>
      <c r="EU33">
        <v>0</v>
      </c>
      <c r="EV33">
        <v>795.14</v>
      </c>
      <c r="EW33">
        <v>83</v>
      </c>
      <c r="EX33">
        <v>0</v>
      </c>
      <c r="EY33">
        <v>0</v>
      </c>
      <c r="FQ33">
        <v>0</v>
      </c>
      <c r="FR33">
        <f t="shared" si="46"/>
        <v>0</v>
      </c>
      <c r="FS33">
        <v>0</v>
      </c>
      <c r="FX33">
        <v>91</v>
      </c>
      <c r="FY33">
        <v>67</v>
      </c>
      <c r="GA33" t="s">
        <v>3</v>
      </c>
      <c r="GD33">
        <v>0</v>
      </c>
      <c r="GF33">
        <v>-1374314601</v>
      </c>
      <c r="GG33">
        <v>2</v>
      </c>
      <c r="GH33">
        <v>1</v>
      </c>
      <c r="GI33">
        <v>2</v>
      </c>
      <c r="GJ33">
        <v>0</v>
      </c>
      <c r="GK33">
        <f>ROUND(R33*(R12)/100,2)</f>
        <v>0</v>
      </c>
      <c r="GL33">
        <f t="shared" si="47"/>
        <v>0</v>
      </c>
      <c r="GM33">
        <f t="shared" si="48"/>
        <v>3523.47</v>
      </c>
      <c r="GN33">
        <f t="shared" si="49"/>
        <v>3523.47</v>
      </c>
      <c r="GO33">
        <f t="shared" si="50"/>
        <v>0</v>
      </c>
      <c r="GP33">
        <f t="shared" si="51"/>
        <v>0</v>
      </c>
      <c r="GR33">
        <v>0</v>
      </c>
      <c r="GS33">
        <v>3</v>
      </c>
      <c r="GT33">
        <v>0</v>
      </c>
      <c r="GU33" t="s">
        <v>3</v>
      </c>
      <c r="GV33">
        <f t="shared" si="52"/>
        <v>0</v>
      </c>
      <c r="GW33">
        <v>1</v>
      </c>
      <c r="GX33">
        <f t="shared" si="53"/>
        <v>0</v>
      </c>
      <c r="HA33">
        <v>0</v>
      </c>
      <c r="HB33">
        <v>0</v>
      </c>
      <c r="HC33">
        <f t="shared" si="54"/>
        <v>0</v>
      </c>
      <c r="IK33">
        <v>0</v>
      </c>
    </row>
    <row r="34" spans="1:245" x14ac:dyDescent="0.2">
      <c r="A34">
        <v>17</v>
      </c>
      <c r="B34">
        <v>1</v>
      </c>
      <c r="E34" t="s">
        <v>60</v>
      </c>
      <c r="F34" t="s">
        <v>61</v>
      </c>
      <c r="G34" t="s">
        <v>62</v>
      </c>
      <c r="H34" t="s">
        <v>41</v>
      </c>
      <c r="I34">
        <v>18</v>
      </c>
      <c r="J34">
        <v>0</v>
      </c>
      <c r="O34">
        <f t="shared" si="21"/>
        <v>3354.86</v>
      </c>
      <c r="P34">
        <f t="shared" si="22"/>
        <v>0</v>
      </c>
      <c r="Q34">
        <f t="shared" si="23"/>
        <v>3354.86</v>
      </c>
      <c r="R34">
        <f t="shared" si="24"/>
        <v>0</v>
      </c>
      <c r="S34">
        <f t="shared" si="25"/>
        <v>0</v>
      </c>
      <c r="T34">
        <f t="shared" si="26"/>
        <v>0</v>
      </c>
      <c r="U34">
        <f t="shared" si="27"/>
        <v>0</v>
      </c>
      <c r="V34">
        <f t="shared" si="28"/>
        <v>0</v>
      </c>
      <c r="W34">
        <f t="shared" si="29"/>
        <v>0</v>
      </c>
      <c r="X34">
        <f t="shared" si="30"/>
        <v>0</v>
      </c>
      <c r="Y34">
        <f t="shared" si="30"/>
        <v>0</v>
      </c>
      <c r="AA34">
        <v>35678934</v>
      </c>
      <c r="AB34">
        <f t="shared" si="31"/>
        <v>24.3</v>
      </c>
      <c r="AC34">
        <f t="shared" si="32"/>
        <v>0</v>
      </c>
      <c r="AD34">
        <f t="shared" si="56"/>
        <v>24.3</v>
      </c>
      <c r="AE34">
        <f t="shared" si="56"/>
        <v>0</v>
      </c>
      <c r="AF34">
        <f t="shared" si="56"/>
        <v>0</v>
      </c>
      <c r="AG34">
        <f t="shared" si="34"/>
        <v>0</v>
      </c>
      <c r="AH34">
        <f t="shared" si="57"/>
        <v>0</v>
      </c>
      <c r="AI34">
        <f t="shared" si="57"/>
        <v>0</v>
      </c>
      <c r="AJ34">
        <f t="shared" si="35"/>
        <v>0</v>
      </c>
      <c r="AK34">
        <v>24.3</v>
      </c>
      <c r="AL34">
        <v>0</v>
      </c>
      <c r="AM34">
        <v>24.3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1</v>
      </c>
      <c r="AW34">
        <v>1</v>
      </c>
      <c r="AZ34">
        <v>1</v>
      </c>
      <c r="BA34">
        <v>1</v>
      </c>
      <c r="BB34">
        <v>7.67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63</v>
      </c>
      <c r="BM34">
        <v>1113</v>
      </c>
      <c r="BN34">
        <v>0</v>
      </c>
      <c r="BO34" t="s">
        <v>61</v>
      </c>
      <c r="BP34">
        <v>1</v>
      </c>
      <c r="BQ34">
        <v>150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0</v>
      </c>
      <c r="CA34">
        <v>0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36"/>
        <v>3354.86</v>
      </c>
      <c r="CQ34">
        <f t="shared" si="37"/>
        <v>0</v>
      </c>
      <c r="CR34">
        <f t="shared" si="38"/>
        <v>186.381</v>
      </c>
      <c r="CS34">
        <f t="shared" si="39"/>
        <v>0</v>
      </c>
      <c r="CT34">
        <f t="shared" si="40"/>
        <v>0</v>
      </c>
      <c r="CU34">
        <f t="shared" si="41"/>
        <v>0</v>
      </c>
      <c r="CV34">
        <f t="shared" si="42"/>
        <v>0</v>
      </c>
      <c r="CW34">
        <f t="shared" si="43"/>
        <v>0</v>
      </c>
      <c r="CX34">
        <f t="shared" si="43"/>
        <v>0</v>
      </c>
      <c r="CY34">
        <f t="shared" si="44"/>
        <v>0</v>
      </c>
      <c r="CZ34">
        <f t="shared" si="45"/>
        <v>0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1009</v>
      </c>
      <c r="DV34" t="s">
        <v>41</v>
      </c>
      <c r="DW34" t="s">
        <v>41</v>
      </c>
      <c r="DX34">
        <v>1000</v>
      </c>
      <c r="EE34">
        <v>35104976</v>
      </c>
      <c r="EF34">
        <v>150</v>
      </c>
      <c r="EG34" t="s">
        <v>64</v>
      </c>
      <c r="EH34">
        <v>0</v>
      </c>
      <c r="EI34" t="s">
        <v>3</v>
      </c>
      <c r="EJ34">
        <v>4</v>
      </c>
      <c r="EK34">
        <v>1113</v>
      </c>
      <c r="EL34" t="s">
        <v>65</v>
      </c>
      <c r="EM34" t="s">
        <v>66</v>
      </c>
      <c r="EO34" t="s">
        <v>3</v>
      </c>
      <c r="EQ34">
        <v>0</v>
      </c>
      <c r="ER34">
        <v>24.3</v>
      </c>
      <c r="ES34">
        <v>0</v>
      </c>
      <c r="ET34">
        <v>24.3</v>
      </c>
      <c r="EU34">
        <v>0</v>
      </c>
      <c r="EV34">
        <v>0</v>
      </c>
      <c r="EW34">
        <v>0</v>
      </c>
      <c r="EX34">
        <v>0</v>
      </c>
      <c r="EY34">
        <v>0</v>
      </c>
      <c r="FQ34">
        <v>0</v>
      </c>
      <c r="FR34">
        <f t="shared" si="46"/>
        <v>0</v>
      </c>
      <c r="FS34">
        <v>0</v>
      </c>
      <c r="FX34">
        <v>0</v>
      </c>
      <c r="FY34">
        <v>0</v>
      </c>
      <c r="GA34" t="s">
        <v>3</v>
      </c>
      <c r="GD34">
        <v>0</v>
      </c>
      <c r="GF34">
        <v>68998244</v>
      </c>
      <c r="GG34">
        <v>2</v>
      </c>
      <c r="GH34">
        <v>1</v>
      </c>
      <c r="GI34">
        <v>2</v>
      </c>
      <c r="GJ34">
        <v>0</v>
      </c>
      <c r="GK34">
        <f>ROUND(R34*(R12)/100,2)</f>
        <v>0</v>
      </c>
      <c r="GL34">
        <f t="shared" si="47"/>
        <v>0</v>
      </c>
      <c r="GM34">
        <f t="shared" si="48"/>
        <v>3354.86</v>
      </c>
      <c r="GN34">
        <f t="shared" si="49"/>
        <v>0</v>
      </c>
      <c r="GO34">
        <f t="shared" si="50"/>
        <v>0</v>
      </c>
      <c r="GP34">
        <f t="shared" si="51"/>
        <v>3354.86</v>
      </c>
      <c r="GR34">
        <v>0</v>
      </c>
      <c r="GS34">
        <v>3</v>
      </c>
      <c r="GT34">
        <v>0</v>
      </c>
      <c r="GU34" t="s">
        <v>3</v>
      </c>
      <c r="GV34">
        <f t="shared" si="52"/>
        <v>0</v>
      </c>
      <c r="GW34">
        <v>1</v>
      </c>
      <c r="GX34">
        <f t="shared" si="53"/>
        <v>0</v>
      </c>
      <c r="HA34">
        <v>0</v>
      </c>
      <c r="HB34">
        <v>0</v>
      </c>
      <c r="HC34">
        <f t="shared" si="54"/>
        <v>0</v>
      </c>
      <c r="IK34">
        <v>0</v>
      </c>
    </row>
    <row r="35" spans="1:245" x14ac:dyDescent="0.2">
      <c r="A35">
        <v>17</v>
      </c>
      <c r="B35">
        <v>1</v>
      </c>
      <c r="E35" t="s">
        <v>67</v>
      </c>
      <c r="F35" t="s">
        <v>68</v>
      </c>
      <c r="G35" t="s">
        <v>69</v>
      </c>
      <c r="H35" t="s">
        <v>33</v>
      </c>
      <c r="I35">
        <v>8</v>
      </c>
      <c r="J35">
        <v>0</v>
      </c>
      <c r="O35">
        <f t="shared" si="21"/>
        <v>2334.8000000000002</v>
      </c>
      <c r="P35">
        <f t="shared" si="22"/>
        <v>0</v>
      </c>
      <c r="Q35">
        <f t="shared" si="23"/>
        <v>2334.8000000000002</v>
      </c>
      <c r="R35">
        <f t="shared" si="24"/>
        <v>0</v>
      </c>
      <c r="S35">
        <f t="shared" si="25"/>
        <v>0</v>
      </c>
      <c r="T35">
        <f t="shared" si="26"/>
        <v>0</v>
      </c>
      <c r="U35">
        <f t="shared" si="27"/>
        <v>0</v>
      </c>
      <c r="V35">
        <f t="shared" si="28"/>
        <v>0</v>
      </c>
      <c r="W35">
        <f t="shared" si="29"/>
        <v>0</v>
      </c>
      <c r="X35">
        <f t="shared" si="30"/>
        <v>0</v>
      </c>
      <c r="Y35">
        <f t="shared" si="30"/>
        <v>0</v>
      </c>
      <c r="AA35">
        <v>35678934</v>
      </c>
      <c r="AB35">
        <f t="shared" si="31"/>
        <v>32.5</v>
      </c>
      <c r="AC35">
        <f t="shared" si="32"/>
        <v>0</v>
      </c>
      <c r="AD35">
        <f t="shared" si="56"/>
        <v>32.5</v>
      </c>
      <c r="AE35">
        <f t="shared" si="56"/>
        <v>0</v>
      </c>
      <c r="AF35">
        <f t="shared" si="56"/>
        <v>0</v>
      </c>
      <c r="AG35">
        <f t="shared" si="34"/>
        <v>0</v>
      </c>
      <c r="AH35">
        <f t="shared" si="57"/>
        <v>0</v>
      </c>
      <c r="AI35">
        <f t="shared" si="57"/>
        <v>0</v>
      </c>
      <c r="AJ35">
        <f t="shared" si="35"/>
        <v>0</v>
      </c>
      <c r="AK35">
        <v>32.5</v>
      </c>
      <c r="AL35">
        <v>0</v>
      </c>
      <c r="AM35">
        <v>32.5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1</v>
      </c>
      <c r="AW35">
        <v>1</v>
      </c>
      <c r="AZ35">
        <v>1</v>
      </c>
      <c r="BA35">
        <v>1</v>
      </c>
      <c r="BB35">
        <v>8.98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4</v>
      </c>
      <c r="BJ35" t="s">
        <v>70</v>
      </c>
      <c r="BM35">
        <v>1111</v>
      </c>
      <c r="BN35">
        <v>0</v>
      </c>
      <c r="BO35" t="s">
        <v>68</v>
      </c>
      <c r="BP35">
        <v>1</v>
      </c>
      <c r="BQ35">
        <v>150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0</v>
      </c>
      <c r="CA35">
        <v>0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36"/>
        <v>2334.8000000000002</v>
      </c>
      <c r="CQ35">
        <f t="shared" si="37"/>
        <v>0</v>
      </c>
      <c r="CR35">
        <f t="shared" si="38"/>
        <v>291.85000000000002</v>
      </c>
      <c r="CS35">
        <f t="shared" si="39"/>
        <v>0</v>
      </c>
      <c r="CT35">
        <f t="shared" si="40"/>
        <v>0</v>
      </c>
      <c r="CU35">
        <f t="shared" si="41"/>
        <v>0</v>
      </c>
      <c r="CV35">
        <f t="shared" si="42"/>
        <v>0</v>
      </c>
      <c r="CW35">
        <f t="shared" si="43"/>
        <v>0</v>
      </c>
      <c r="CX35">
        <f t="shared" si="43"/>
        <v>0</v>
      </c>
      <c r="CY35">
        <f t="shared" si="44"/>
        <v>0</v>
      </c>
      <c r="CZ35">
        <f t="shared" si="45"/>
        <v>0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1007</v>
      </c>
      <c r="DV35" t="s">
        <v>33</v>
      </c>
      <c r="DW35" t="s">
        <v>33</v>
      </c>
      <c r="DX35">
        <v>1</v>
      </c>
      <c r="EE35">
        <v>35104974</v>
      </c>
      <c r="EF35">
        <v>150</v>
      </c>
      <c r="EG35" t="s">
        <v>64</v>
      </c>
      <c r="EH35">
        <v>0</v>
      </c>
      <c r="EI35" t="s">
        <v>3</v>
      </c>
      <c r="EJ35">
        <v>4</v>
      </c>
      <c r="EK35">
        <v>1111</v>
      </c>
      <c r="EL35" t="s">
        <v>71</v>
      </c>
      <c r="EM35" t="s">
        <v>72</v>
      </c>
      <c r="EO35" t="s">
        <v>3</v>
      </c>
      <c r="EQ35">
        <v>0</v>
      </c>
      <c r="ER35">
        <v>32.5</v>
      </c>
      <c r="ES35">
        <v>0</v>
      </c>
      <c r="ET35">
        <v>32.5</v>
      </c>
      <c r="EU35">
        <v>0</v>
      </c>
      <c r="EV35">
        <v>0</v>
      </c>
      <c r="EW35">
        <v>0</v>
      </c>
      <c r="EX35">
        <v>0</v>
      </c>
      <c r="EY35">
        <v>0</v>
      </c>
      <c r="FQ35">
        <v>0</v>
      </c>
      <c r="FR35">
        <f t="shared" si="46"/>
        <v>0</v>
      </c>
      <c r="FS35">
        <v>0</v>
      </c>
      <c r="FX35">
        <v>0</v>
      </c>
      <c r="FY35">
        <v>0</v>
      </c>
      <c r="GA35" t="s">
        <v>3</v>
      </c>
      <c r="GD35">
        <v>0</v>
      </c>
      <c r="GF35">
        <v>1165712865</v>
      </c>
      <c r="GG35">
        <v>2</v>
      </c>
      <c r="GH35">
        <v>1</v>
      </c>
      <c r="GI35">
        <v>2</v>
      </c>
      <c r="GJ35">
        <v>0</v>
      </c>
      <c r="GK35">
        <f>ROUND(R35*(R12)/100,2)</f>
        <v>0</v>
      </c>
      <c r="GL35">
        <f t="shared" si="47"/>
        <v>0</v>
      </c>
      <c r="GM35">
        <f t="shared" si="48"/>
        <v>2334.8000000000002</v>
      </c>
      <c r="GN35">
        <f t="shared" si="49"/>
        <v>0</v>
      </c>
      <c r="GO35">
        <f t="shared" si="50"/>
        <v>0</v>
      </c>
      <c r="GP35">
        <f t="shared" si="51"/>
        <v>2334.8000000000002</v>
      </c>
      <c r="GR35">
        <v>0</v>
      </c>
      <c r="GS35">
        <v>3</v>
      </c>
      <c r="GT35">
        <v>0</v>
      </c>
      <c r="GU35" t="s">
        <v>3</v>
      </c>
      <c r="GV35">
        <f t="shared" si="52"/>
        <v>0</v>
      </c>
      <c r="GW35">
        <v>1</v>
      </c>
      <c r="GX35">
        <f t="shared" si="53"/>
        <v>0</v>
      </c>
      <c r="HA35">
        <v>0</v>
      </c>
      <c r="HB35">
        <v>0</v>
      </c>
      <c r="HC35">
        <f t="shared" si="54"/>
        <v>0</v>
      </c>
      <c r="IK35">
        <v>0</v>
      </c>
    </row>
    <row r="37" spans="1:245" x14ac:dyDescent="0.2">
      <c r="A37" s="2">
        <v>51</v>
      </c>
      <c r="B37" s="2">
        <f>B24</f>
        <v>1</v>
      </c>
      <c r="C37" s="2">
        <f>A24</f>
        <v>4</v>
      </c>
      <c r="D37" s="2">
        <f>ROW(A24)</f>
        <v>24</v>
      </c>
      <c r="E37" s="2"/>
      <c r="F37" s="2" t="str">
        <f>IF(F24&lt;&gt;"",F24,"")</f>
        <v>Новый раздел</v>
      </c>
      <c r="G37" s="2" t="str">
        <f>IF(G24&lt;&gt;"",G24,"")</f>
        <v>Общестроительные работы</v>
      </c>
      <c r="H37" s="2">
        <v>0</v>
      </c>
      <c r="I37" s="2"/>
      <c r="J37" s="2"/>
      <c r="K37" s="2"/>
      <c r="L37" s="2"/>
      <c r="M37" s="2"/>
      <c r="N37" s="2"/>
      <c r="O37" s="2">
        <f t="shared" ref="O37:T37" si="58">ROUND(AB37,2)</f>
        <v>279636.08</v>
      </c>
      <c r="P37" s="2">
        <f t="shared" si="58"/>
        <v>36775.9</v>
      </c>
      <c r="Q37" s="2">
        <f t="shared" si="58"/>
        <v>28631.82</v>
      </c>
      <c r="R37" s="2">
        <f t="shared" si="58"/>
        <v>14874.66</v>
      </c>
      <c r="S37" s="2">
        <f t="shared" si="58"/>
        <v>214228.36</v>
      </c>
      <c r="T37" s="2">
        <f t="shared" si="58"/>
        <v>0</v>
      </c>
      <c r="U37" s="2">
        <f>AH37</f>
        <v>935.63304233400004</v>
      </c>
      <c r="V37" s="2">
        <f>AI37</f>
        <v>0</v>
      </c>
      <c r="W37" s="2">
        <f>ROUND(AJ37,2)</f>
        <v>0</v>
      </c>
      <c r="X37" s="2">
        <f>ROUND(AK37,2)</f>
        <v>181667.35</v>
      </c>
      <c r="Y37" s="2">
        <f>ROUND(AL37,2)</f>
        <v>88342.84</v>
      </c>
      <c r="Z37" s="2"/>
      <c r="AA37" s="2"/>
      <c r="AB37" s="2">
        <f>ROUND(SUMIF(AA28:AA35,"=35678934",O28:O35),2)</f>
        <v>279636.08</v>
      </c>
      <c r="AC37" s="2">
        <f>ROUND(SUMIF(AA28:AA35,"=35678934",P28:P35),2)</f>
        <v>36775.9</v>
      </c>
      <c r="AD37" s="2">
        <f>ROUND(SUMIF(AA28:AA35,"=35678934",Q28:Q35),2)</f>
        <v>28631.82</v>
      </c>
      <c r="AE37" s="2">
        <f>ROUND(SUMIF(AA28:AA35,"=35678934",R28:R35),2)</f>
        <v>14874.66</v>
      </c>
      <c r="AF37" s="2">
        <f>ROUND(SUMIF(AA28:AA35,"=35678934",S28:S35),2)</f>
        <v>214228.36</v>
      </c>
      <c r="AG37" s="2">
        <f>ROUND(SUMIF(AA28:AA35,"=35678934",T28:T35),2)</f>
        <v>0</v>
      </c>
      <c r="AH37" s="2">
        <f>SUMIF(AA28:AA35,"=35678934",U28:U35)</f>
        <v>935.63304233400004</v>
      </c>
      <c r="AI37" s="2">
        <f>SUMIF(AA28:AA35,"=35678934",V28:V35)</f>
        <v>0</v>
      </c>
      <c r="AJ37" s="2">
        <f>ROUND(SUMIF(AA28:AA35,"=35678934",W28:W35),2)</f>
        <v>0</v>
      </c>
      <c r="AK37" s="2">
        <f>ROUND(SUMIF(AA28:AA35,"=35678934",X28:X35),2)</f>
        <v>181667.35</v>
      </c>
      <c r="AL37" s="2">
        <f>ROUND(SUMIF(AA28:AA35,"=35678934",Y28:Y35),2)</f>
        <v>88342.84</v>
      </c>
      <c r="AM37" s="2"/>
      <c r="AN37" s="2"/>
      <c r="AO37" s="2">
        <f t="shared" ref="AO37:BC37" si="59">ROUND(BX37,2)</f>
        <v>0</v>
      </c>
      <c r="AP37" s="2">
        <f t="shared" si="59"/>
        <v>0</v>
      </c>
      <c r="AQ37" s="2">
        <f t="shared" si="59"/>
        <v>0</v>
      </c>
      <c r="AR37" s="2">
        <f t="shared" si="59"/>
        <v>572999.49</v>
      </c>
      <c r="AS37" s="2">
        <f t="shared" si="59"/>
        <v>567309.82999999996</v>
      </c>
      <c r="AT37" s="2">
        <f t="shared" si="59"/>
        <v>0</v>
      </c>
      <c r="AU37" s="2">
        <f t="shared" si="59"/>
        <v>5689.66</v>
      </c>
      <c r="AV37" s="2">
        <f t="shared" si="59"/>
        <v>36775.9</v>
      </c>
      <c r="AW37" s="2">
        <f t="shared" si="59"/>
        <v>36775.9</v>
      </c>
      <c r="AX37" s="2">
        <f t="shared" si="59"/>
        <v>0</v>
      </c>
      <c r="AY37" s="2">
        <f t="shared" si="59"/>
        <v>36775.9</v>
      </c>
      <c r="AZ37" s="2">
        <f t="shared" si="59"/>
        <v>0</v>
      </c>
      <c r="BA37" s="2">
        <f t="shared" si="59"/>
        <v>0</v>
      </c>
      <c r="BB37" s="2">
        <f t="shared" si="59"/>
        <v>0</v>
      </c>
      <c r="BC37" s="2">
        <f t="shared" si="59"/>
        <v>0</v>
      </c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>
        <f>ROUND(SUMIF(AA28:AA35,"=35678934",FQ28:FQ35),2)</f>
        <v>0</v>
      </c>
      <c r="BY37" s="2">
        <f>ROUND(SUMIF(AA28:AA35,"=35678934",FR28:FR35),2)</f>
        <v>0</v>
      </c>
      <c r="BZ37" s="2">
        <f>ROUND(SUMIF(AA28:AA35,"=35678934",GL28:GL35),2)</f>
        <v>0</v>
      </c>
      <c r="CA37" s="2">
        <f>ROUND(SUMIF(AA28:AA35,"=35678934",GM28:GM35),2)</f>
        <v>572999.49</v>
      </c>
      <c r="CB37" s="2">
        <f>ROUND(SUMIF(AA28:AA35,"=35678934",GN28:GN35),2)</f>
        <v>567309.82999999996</v>
      </c>
      <c r="CC37" s="2">
        <f>ROUND(SUMIF(AA28:AA35,"=35678934",GO28:GO35),2)</f>
        <v>0</v>
      </c>
      <c r="CD37" s="2">
        <f>ROUND(SUMIF(AA28:AA35,"=35678934",GP28:GP35),2)</f>
        <v>5689.66</v>
      </c>
      <c r="CE37" s="2">
        <f>AC37-BX37</f>
        <v>36775.9</v>
      </c>
      <c r="CF37" s="2">
        <f>AC37-BY37</f>
        <v>36775.9</v>
      </c>
      <c r="CG37" s="2">
        <f>BX37-BZ37</f>
        <v>0</v>
      </c>
      <c r="CH37" s="2">
        <f>AC37-BX37-BY37+BZ37</f>
        <v>36775.9</v>
      </c>
      <c r="CI37" s="2">
        <f>BY37-BZ37</f>
        <v>0</v>
      </c>
      <c r="CJ37" s="2">
        <f>ROUND(SUMIF(AA28:AA35,"=35678934",GX28:GX35),2)</f>
        <v>0</v>
      </c>
      <c r="CK37" s="2">
        <f>ROUND(SUMIF(AA28:AA35,"=35678934",GY28:GY35),2)</f>
        <v>0</v>
      </c>
      <c r="CL37" s="2">
        <f>ROUND(SUMIF(AA28:AA35,"=35678934",GZ28:GZ35),2)</f>
        <v>0</v>
      </c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>
        <v>0</v>
      </c>
    </row>
    <row r="39" spans="1:245" x14ac:dyDescent="0.2">
      <c r="A39" s="4">
        <v>50</v>
      </c>
      <c r="B39" s="4">
        <v>0</v>
      </c>
      <c r="C39" s="4">
        <v>0</v>
      </c>
      <c r="D39" s="4">
        <v>1</v>
      </c>
      <c r="E39" s="4">
        <v>201</v>
      </c>
      <c r="F39" s="4">
        <f>ROUND(Source!O37,O39)</f>
        <v>279636.08</v>
      </c>
      <c r="G39" s="4" t="s">
        <v>73</v>
      </c>
      <c r="H39" s="4" t="s">
        <v>74</v>
      </c>
      <c r="I39" s="4"/>
      <c r="J39" s="4"/>
      <c r="K39" s="4">
        <v>201</v>
      </c>
      <c r="L39" s="4">
        <v>1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/>
    </row>
    <row r="40" spans="1:245" x14ac:dyDescent="0.2">
      <c r="A40" s="4">
        <v>50</v>
      </c>
      <c r="B40" s="4">
        <v>0</v>
      </c>
      <c r="C40" s="4">
        <v>0</v>
      </c>
      <c r="D40" s="4">
        <v>1</v>
      </c>
      <c r="E40" s="4">
        <v>202</v>
      </c>
      <c r="F40" s="4">
        <f>ROUND(Source!P37,O40)</f>
        <v>36775.9</v>
      </c>
      <c r="G40" s="4" t="s">
        <v>75</v>
      </c>
      <c r="H40" s="4" t="s">
        <v>76</v>
      </c>
      <c r="I40" s="4"/>
      <c r="J40" s="4"/>
      <c r="K40" s="4">
        <v>202</v>
      </c>
      <c r="L40" s="4">
        <v>2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/>
    </row>
    <row r="41" spans="1:245" x14ac:dyDescent="0.2">
      <c r="A41" s="4">
        <v>50</v>
      </c>
      <c r="B41" s="4">
        <v>0</v>
      </c>
      <c r="C41" s="4">
        <v>0</v>
      </c>
      <c r="D41" s="4">
        <v>1</v>
      </c>
      <c r="E41" s="4">
        <v>222</v>
      </c>
      <c r="F41" s="4">
        <f>ROUND(Source!AO37,O41)</f>
        <v>0</v>
      </c>
      <c r="G41" s="4" t="s">
        <v>77</v>
      </c>
      <c r="H41" s="4" t="s">
        <v>78</v>
      </c>
      <c r="I41" s="4"/>
      <c r="J41" s="4"/>
      <c r="K41" s="4">
        <v>222</v>
      </c>
      <c r="L41" s="4">
        <v>3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/>
    </row>
    <row r="42" spans="1:245" x14ac:dyDescent="0.2">
      <c r="A42" s="4">
        <v>50</v>
      </c>
      <c r="B42" s="4">
        <v>0</v>
      </c>
      <c r="C42" s="4">
        <v>0</v>
      </c>
      <c r="D42" s="4">
        <v>1</v>
      </c>
      <c r="E42" s="4">
        <v>225</v>
      </c>
      <c r="F42" s="4">
        <f>ROUND(Source!AV37,O42)</f>
        <v>36775.9</v>
      </c>
      <c r="G42" s="4" t="s">
        <v>79</v>
      </c>
      <c r="H42" s="4" t="s">
        <v>80</v>
      </c>
      <c r="I42" s="4"/>
      <c r="J42" s="4"/>
      <c r="K42" s="4">
        <v>225</v>
      </c>
      <c r="L42" s="4">
        <v>4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/>
    </row>
    <row r="43" spans="1:245" x14ac:dyDescent="0.2">
      <c r="A43" s="4">
        <v>50</v>
      </c>
      <c r="B43" s="4">
        <v>0</v>
      </c>
      <c r="C43" s="4">
        <v>0</v>
      </c>
      <c r="D43" s="4">
        <v>1</v>
      </c>
      <c r="E43" s="4">
        <v>226</v>
      </c>
      <c r="F43" s="4">
        <f>ROUND(Source!AW37,O43)</f>
        <v>36775.9</v>
      </c>
      <c r="G43" s="4" t="s">
        <v>81</v>
      </c>
      <c r="H43" s="4" t="s">
        <v>82</v>
      </c>
      <c r="I43" s="4"/>
      <c r="J43" s="4"/>
      <c r="K43" s="4">
        <v>226</v>
      </c>
      <c r="L43" s="4">
        <v>5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/>
    </row>
    <row r="44" spans="1:245" x14ac:dyDescent="0.2">
      <c r="A44" s="4">
        <v>50</v>
      </c>
      <c r="B44" s="4">
        <v>0</v>
      </c>
      <c r="C44" s="4">
        <v>0</v>
      </c>
      <c r="D44" s="4">
        <v>1</v>
      </c>
      <c r="E44" s="4">
        <v>227</v>
      </c>
      <c r="F44" s="4">
        <f>ROUND(Source!AX37,O44)</f>
        <v>0</v>
      </c>
      <c r="G44" s="4" t="s">
        <v>83</v>
      </c>
      <c r="H44" s="4" t="s">
        <v>84</v>
      </c>
      <c r="I44" s="4"/>
      <c r="J44" s="4"/>
      <c r="K44" s="4">
        <v>227</v>
      </c>
      <c r="L44" s="4">
        <v>6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/>
    </row>
    <row r="45" spans="1:245" x14ac:dyDescent="0.2">
      <c r="A45" s="4">
        <v>50</v>
      </c>
      <c r="B45" s="4">
        <v>0</v>
      </c>
      <c r="C45" s="4">
        <v>0</v>
      </c>
      <c r="D45" s="4">
        <v>1</v>
      </c>
      <c r="E45" s="4">
        <v>228</v>
      </c>
      <c r="F45" s="4">
        <f>ROUND(Source!AY37,O45)</f>
        <v>36775.9</v>
      </c>
      <c r="G45" s="4" t="s">
        <v>85</v>
      </c>
      <c r="H45" s="4" t="s">
        <v>86</v>
      </c>
      <c r="I45" s="4"/>
      <c r="J45" s="4"/>
      <c r="K45" s="4">
        <v>228</v>
      </c>
      <c r="L45" s="4">
        <v>7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/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216</v>
      </c>
      <c r="F46" s="4">
        <f>ROUND(Source!AP37,O46)</f>
        <v>0</v>
      </c>
      <c r="G46" s="4" t="s">
        <v>87</v>
      </c>
      <c r="H46" s="4" t="s">
        <v>88</v>
      </c>
      <c r="I46" s="4"/>
      <c r="J46" s="4"/>
      <c r="K46" s="4">
        <v>216</v>
      </c>
      <c r="L46" s="4">
        <v>8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223</v>
      </c>
      <c r="F47" s="4">
        <f>ROUND(Source!AQ37,O47)</f>
        <v>0</v>
      </c>
      <c r="G47" s="4" t="s">
        <v>89</v>
      </c>
      <c r="H47" s="4" t="s">
        <v>90</v>
      </c>
      <c r="I47" s="4"/>
      <c r="J47" s="4"/>
      <c r="K47" s="4">
        <v>223</v>
      </c>
      <c r="L47" s="4">
        <v>9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229</v>
      </c>
      <c r="F48" s="4">
        <f>ROUND(Source!AZ37,O48)</f>
        <v>0</v>
      </c>
      <c r="G48" s="4" t="s">
        <v>91</v>
      </c>
      <c r="H48" s="4" t="s">
        <v>92</v>
      </c>
      <c r="I48" s="4"/>
      <c r="J48" s="4"/>
      <c r="K48" s="4">
        <v>229</v>
      </c>
      <c r="L48" s="4">
        <v>10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/>
    </row>
    <row r="49" spans="1:23" x14ac:dyDescent="0.2">
      <c r="A49" s="4">
        <v>50</v>
      </c>
      <c r="B49" s="4">
        <v>0</v>
      </c>
      <c r="C49" s="4">
        <v>0</v>
      </c>
      <c r="D49" s="4">
        <v>1</v>
      </c>
      <c r="E49" s="4">
        <v>203</v>
      </c>
      <c r="F49" s="4">
        <f>ROUND(Source!Q37,O49)</f>
        <v>28631.82</v>
      </c>
      <c r="G49" s="4" t="s">
        <v>93</v>
      </c>
      <c r="H49" s="4" t="s">
        <v>94</v>
      </c>
      <c r="I49" s="4"/>
      <c r="J49" s="4"/>
      <c r="K49" s="4">
        <v>203</v>
      </c>
      <c r="L49" s="4">
        <v>11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/>
    </row>
    <row r="50" spans="1:23" x14ac:dyDescent="0.2">
      <c r="A50" s="4">
        <v>50</v>
      </c>
      <c r="B50" s="4">
        <v>0</v>
      </c>
      <c r="C50" s="4">
        <v>0</v>
      </c>
      <c r="D50" s="4">
        <v>1</v>
      </c>
      <c r="E50" s="4">
        <v>231</v>
      </c>
      <c r="F50" s="4">
        <f>ROUND(Source!BB37,O50)</f>
        <v>0</v>
      </c>
      <c r="G50" s="4" t="s">
        <v>95</v>
      </c>
      <c r="H50" s="4" t="s">
        <v>96</v>
      </c>
      <c r="I50" s="4"/>
      <c r="J50" s="4"/>
      <c r="K50" s="4">
        <v>231</v>
      </c>
      <c r="L50" s="4">
        <v>12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/>
    </row>
    <row r="51" spans="1:23" x14ac:dyDescent="0.2">
      <c r="A51" s="4">
        <v>50</v>
      </c>
      <c r="B51" s="4">
        <v>0</v>
      </c>
      <c r="C51" s="4">
        <v>0</v>
      </c>
      <c r="D51" s="4">
        <v>1</v>
      </c>
      <c r="E51" s="4">
        <v>204</v>
      </c>
      <c r="F51" s="4">
        <f>ROUND(Source!R37,O51)</f>
        <v>14874.66</v>
      </c>
      <c r="G51" s="4" t="s">
        <v>97</v>
      </c>
      <c r="H51" s="4" t="s">
        <v>98</v>
      </c>
      <c r="I51" s="4"/>
      <c r="J51" s="4"/>
      <c r="K51" s="4">
        <v>204</v>
      </c>
      <c r="L51" s="4">
        <v>13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/>
    </row>
    <row r="52" spans="1:23" x14ac:dyDescent="0.2">
      <c r="A52" s="4">
        <v>50</v>
      </c>
      <c r="B52" s="4">
        <v>0</v>
      </c>
      <c r="C52" s="4">
        <v>0</v>
      </c>
      <c r="D52" s="4">
        <v>1</v>
      </c>
      <c r="E52" s="4">
        <v>205</v>
      </c>
      <c r="F52" s="4">
        <f>ROUND(Source!S37,O52)</f>
        <v>214228.36</v>
      </c>
      <c r="G52" s="4" t="s">
        <v>99</v>
      </c>
      <c r="H52" s="4" t="s">
        <v>100</v>
      </c>
      <c r="I52" s="4"/>
      <c r="J52" s="4"/>
      <c r="K52" s="4">
        <v>205</v>
      </c>
      <c r="L52" s="4">
        <v>14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/>
    </row>
    <row r="53" spans="1:23" x14ac:dyDescent="0.2">
      <c r="A53" s="4">
        <v>50</v>
      </c>
      <c r="B53" s="4">
        <v>0</v>
      </c>
      <c r="C53" s="4">
        <v>0</v>
      </c>
      <c r="D53" s="4">
        <v>1</v>
      </c>
      <c r="E53" s="4">
        <v>232</v>
      </c>
      <c r="F53" s="4">
        <f>ROUND(Source!BC37,O53)</f>
        <v>0</v>
      </c>
      <c r="G53" s="4" t="s">
        <v>101</v>
      </c>
      <c r="H53" s="4" t="s">
        <v>102</v>
      </c>
      <c r="I53" s="4"/>
      <c r="J53" s="4"/>
      <c r="K53" s="4">
        <v>232</v>
      </c>
      <c r="L53" s="4">
        <v>15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/>
    </row>
    <row r="54" spans="1:23" x14ac:dyDescent="0.2">
      <c r="A54" s="4">
        <v>50</v>
      </c>
      <c r="B54" s="4">
        <v>0</v>
      </c>
      <c r="C54" s="4">
        <v>0</v>
      </c>
      <c r="D54" s="4">
        <v>1</v>
      </c>
      <c r="E54" s="4">
        <v>214</v>
      </c>
      <c r="F54" s="4">
        <f>ROUND(Source!AS37,O54)</f>
        <v>567309.82999999996</v>
      </c>
      <c r="G54" s="4" t="s">
        <v>103</v>
      </c>
      <c r="H54" s="4" t="s">
        <v>104</v>
      </c>
      <c r="I54" s="4"/>
      <c r="J54" s="4"/>
      <c r="K54" s="4">
        <v>214</v>
      </c>
      <c r="L54" s="4">
        <v>16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/>
    </row>
    <row r="55" spans="1:23" x14ac:dyDescent="0.2">
      <c r="A55" s="4">
        <v>50</v>
      </c>
      <c r="B55" s="4">
        <v>0</v>
      </c>
      <c r="C55" s="4">
        <v>0</v>
      </c>
      <c r="D55" s="4">
        <v>1</v>
      </c>
      <c r="E55" s="4">
        <v>215</v>
      </c>
      <c r="F55" s="4">
        <f>ROUND(Source!AT37,O55)</f>
        <v>0</v>
      </c>
      <c r="G55" s="4" t="s">
        <v>105</v>
      </c>
      <c r="H55" s="4" t="s">
        <v>106</v>
      </c>
      <c r="I55" s="4"/>
      <c r="J55" s="4"/>
      <c r="K55" s="4">
        <v>215</v>
      </c>
      <c r="L55" s="4">
        <v>17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/>
    </row>
    <row r="56" spans="1:23" x14ac:dyDescent="0.2">
      <c r="A56" s="4">
        <v>50</v>
      </c>
      <c r="B56" s="4">
        <v>0</v>
      </c>
      <c r="C56" s="4">
        <v>0</v>
      </c>
      <c r="D56" s="4">
        <v>1</v>
      </c>
      <c r="E56" s="4">
        <v>217</v>
      </c>
      <c r="F56" s="4">
        <f>ROUND(Source!AU37,O56)</f>
        <v>5689.66</v>
      </c>
      <c r="G56" s="4" t="s">
        <v>107</v>
      </c>
      <c r="H56" s="4" t="s">
        <v>108</v>
      </c>
      <c r="I56" s="4"/>
      <c r="J56" s="4"/>
      <c r="K56" s="4">
        <v>217</v>
      </c>
      <c r="L56" s="4">
        <v>18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/>
    </row>
    <row r="57" spans="1:23" x14ac:dyDescent="0.2">
      <c r="A57" s="4">
        <v>50</v>
      </c>
      <c r="B57" s="4">
        <v>0</v>
      </c>
      <c r="C57" s="4">
        <v>0</v>
      </c>
      <c r="D57" s="4">
        <v>1</v>
      </c>
      <c r="E57" s="4">
        <v>230</v>
      </c>
      <c r="F57" s="4">
        <f>ROUND(Source!BA37,O57)</f>
        <v>0</v>
      </c>
      <c r="G57" s="4" t="s">
        <v>109</v>
      </c>
      <c r="H57" s="4" t="s">
        <v>110</v>
      </c>
      <c r="I57" s="4"/>
      <c r="J57" s="4"/>
      <c r="K57" s="4">
        <v>230</v>
      </c>
      <c r="L57" s="4">
        <v>19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/>
    </row>
    <row r="58" spans="1:23" x14ac:dyDescent="0.2">
      <c r="A58" s="4">
        <v>50</v>
      </c>
      <c r="B58" s="4">
        <v>0</v>
      </c>
      <c r="C58" s="4">
        <v>0</v>
      </c>
      <c r="D58" s="4">
        <v>1</v>
      </c>
      <c r="E58" s="4">
        <v>206</v>
      </c>
      <c r="F58" s="4">
        <f>ROUND(Source!T37,O58)</f>
        <v>0</v>
      </c>
      <c r="G58" s="4" t="s">
        <v>111</v>
      </c>
      <c r="H58" s="4" t="s">
        <v>112</v>
      </c>
      <c r="I58" s="4"/>
      <c r="J58" s="4"/>
      <c r="K58" s="4">
        <v>206</v>
      </c>
      <c r="L58" s="4">
        <v>20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/>
    </row>
    <row r="59" spans="1:23" x14ac:dyDescent="0.2">
      <c r="A59" s="4">
        <v>50</v>
      </c>
      <c r="B59" s="4">
        <v>0</v>
      </c>
      <c r="C59" s="4">
        <v>0</v>
      </c>
      <c r="D59" s="4">
        <v>1</v>
      </c>
      <c r="E59" s="4">
        <v>207</v>
      </c>
      <c r="F59" s="4">
        <f>Source!U37</f>
        <v>935.63304233400004</v>
      </c>
      <c r="G59" s="4" t="s">
        <v>113</v>
      </c>
      <c r="H59" s="4" t="s">
        <v>114</v>
      </c>
      <c r="I59" s="4"/>
      <c r="J59" s="4"/>
      <c r="K59" s="4">
        <v>207</v>
      </c>
      <c r="L59" s="4">
        <v>21</v>
      </c>
      <c r="M59" s="4">
        <v>3</v>
      </c>
      <c r="N59" s="4" t="s">
        <v>3</v>
      </c>
      <c r="O59" s="4">
        <v>-1</v>
      </c>
      <c r="P59" s="4"/>
      <c r="Q59" s="4"/>
      <c r="R59" s="4"/>
      <c r="S59" s="4"/>
      <c r="T59" s="4"/>
      <c r="U59" s="4"/>
      <c r="V59" s="4"/>
      <c r="W59" s="4"/>
    </row>
    <row r="60" spans="1:23" x14ac:dyDescent="0.2">
      <c r="A60" s="4">
        <v>50</v>
      </c>
      <c r="B60" s="4">
        <v>0</v>
      </c>
      <c r="C60" s="4">
        <v>0</v>
      </c>
      <c r="D60" s="4">
        <v>1</v>
      </c>
      <c r="E60" s="4">
        <v>208</v>
      </c>
      <c r="F60" s="4">
        <f>Source!V37</f>
        <v>0</v>
      </c>
      <c r="G60" s="4" t="s">
        <v>115</v>
      </c>
      <c r="H60" s="4" t="s">
        <v>116</v>
      </c>
      <c r="I60" s="4"/>
      <c r="J60" s="4"/>
      <c r="K60" s="4">
        <v>208</v>
      </c>
      <c r="L60" s="4">
        <v>22</v>
      </c>
      <c r="M60" s="4">
        <v>3</v>
      </c>
      <c r="N60" s="4" t="s">
        <v>3</v>
      </c>
      <c r="O60" s="4">
        <v>-1</v>
      </c>
      <c r="P60" s="4"/>
      <c r="Q60" s="4"/>
      <c r="R60" s="4"/>
      <c r="S60" s="4"/>
      <c r="T60" s="4"/>
      <c r="U60" s="4"/>
      <c r="V60" s="4"/>
      <c r="W60" s="4"/>
    </row>
    <row r="61" spans="1:23" x14ac:dyDescent="0.2">
      <c r="A61" s="4">
        <v>50</v>
      </c>
      <c r="B61" s="4">
        <v>0</v>
      </c>
      <c r="C61" s="4">
        <v>0</v>
      </c>
      <c r="D61" s="4">
        <v>1</v>
      </c>
      <c r="E61" s="4">
        <v>209</v>
      </c>
      <c r="F61" s="4">
        <f>ROUND(Source!W37,O61)</f>
        <v>0</v>
      </c>
      <c r="G61" s="4" t="s">
        <v>117</v>
      </c>
      <c r="H61" s="4" t="s">
        <v>118</v>
      </c>
      <c r="I61" s="4"/>
      <c r="J61" s="4"/>
      <c r="K61" s="4">
        <v>209</v>
      </c>
      <c r="L61" s="4">
        <v>23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/>
    </row>
    <row r="62" spans="1:23" x14ac:dyDescent="0.2">
      <c r="A62" s="4">
        <v>50</v>
      </c>
      <c r="B62" s="4">
        <v>0</v>
      </c>
      <c r="C62" s="4">
        <v>0</v>
      </c>
      <c r="D62" s="4">
        <v>1</v>
      </c>
      <c r="E62" s="4">
        <v>210</v>
      </c>
      <c r="F62" s="4">
        <f>ROUND(Source!X37,O62)</f>
        <v>181667.35</v>
      </c>
      <c r="G62" s="4" t="s">
        <v>119</v>
      </c>
      <c r="H62" s="4" t="s">
        <v>120</v>
      </c>
      <c r="I62" s="4"/>
      <c r="J62" s="4"/>
      <c r="K62" s="4">
        <v>210</v>
      </c>
      <c r="L62" s="4">
        <v>24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/>
    </row>
    <row r="63" spans="1:23" x14ac:dyDescent="0.2">
      <c r="A63" s="4">
        <v>50</v>
      </c>
      <c r="B63" s="4">
        <v>0</v>
      </c>
      <c r="C63" s="4">
        <v>0</v>
      </c>
      <c r="D63" s="4">
        <v>1</v>
      </c>
      <c r="E63" s="4">
        <v>211</v>
      </c>
      <c r="F63" s="4">
        <f>ROUND(Source!Y37,O63)</f>
        <v>88342.84</v>
      </c>
      <c r="G63" s="4" t="s">
        <v>121</v>
      </c>
      <c r="H63" s="4" t="s">
        <v>122</v>
      </c>
      <c r="I63" s="4"/>
      <c r="J63" s="4"/>
      <c r="K63" s="4">
        <v>211</v>
      </c>
      <c r="L63" s="4">
        <v>25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/>
    </row>
    <row r="64" spans="1:23" x14ac:dyDescent="0.2">
      <c r="A64" s="4">
        <v>50</v>
      </c>
      <c r="B64" s="4">
        <v>0</v>
      </c>
      <c r="C64" s="4">
        <v>0</v>
      </c>
      <c r="D64" s="4">
        <v>1</v>
      </c>
      <c r="E64" s="4">
        <v>224</v>
      </c>
      <c r="F64" s="4">
        <f>ROUND(Source!AR37,O64)</f>
        <v>572999.49</v>
      </c>
      <c r="G64" s="4" t="s">
        <v>123</v>
      </c>
      <c r="H64" s="4" t="s">
        <v>124</v>
      </c>
      <c r="I64" s="4"/>
      <c r="J64" s="4"/>
      <c r="K64" s="4">
        <v>224</v>
      </c>
      <c r="L64" s="4">
        <v>26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/>
    </row>
    <row r="66" spans="1:245" x14ac:dyDescent="0.2">
      <c r="A66" s="1">
        <v>4</v>
      </c>
      <c r="B66" s="1">
        <v>1</v>
      </c>
      <c r="C66" s="1"/>
      <c r="D66" s="1">
        <f>ROW(A80)</f>
        <v>80</v>
      </c>
      <c r="E66" s="1"/>
      <c r="F66" s="1" t="s">
        <v>13</v>
      </c>
      <c r="G66" s="1" t="s">
        <v>125</v>
      </c>
      <c r="H66" s="1" t="s">
        <v>3</v>
      </c>
      <c r="I66" s="1">
        <v>0</v>
      </c>
      <c r="J66" s="1"/>
      <c r="K66" s="1">
        <v>0</v>
      </c>
      <c r="L66" s="1"/>
      <c r="M66" s="1"/>
      <c r="N66" s="1"/>
      <c r="O66" s="1"/>
      <c r="P66" s="1"/>
      <c r="Q66" s="1"/>
      <c r="R66" s="1"/>
      <c r="S66" s="1"/>
      <c r="T66" s="1"/>
      <c r="U66" s="1" t="s">
        <v>3</v>
      </c>
      <c r="V66" s="1">
        <v>0</v>
      </c>
      <c r="W66" s="1"/>
      <c r="X66" s="1"/>
      <c r="Y66" s="1"/>
      <c r="Z66" s="1"/>
      <c r="AA66" s="1"/>
      <c r="AB66" s="1" t="s">
        <v>3</v>
      </c>
      <c r="AC66" s="1" t="s">
        <v>3</v>
      </c>
      <c r="AD66" s="1" t="s">
        <v>3</v>
      </c>
      <c r="AE66" s="1" t="s">
        <v>3</v>
      </c>
      <c r="AF66" s="1" t="s">
        <v>3</v>
      </c>
      <c r="AG66" s="1" t="s">
        <v>3</v>
      </c>
      <c r="AH66" s="1"/>
      <c r="AI66" s="1"/>
      <c r="AJ66" s="1"/>
      <c r="AK66" s="1"/>
      <c r="AL66" s="1"/>
      <c r="AM66" s="1"/>
      <c r="AN66" s="1"/>
      <c r="AO66" s="1"/>
      <c r="AP66" s="1" t="s">
        <v>3</v>
      </c>
      <c r="AQ66" s="1" t="s">
        <v>3</v>
      </c>
      <c r="AR66" s="1" t="s">
        <v>3</v>
      </c>
      <c r="AS66" s="1"/>
      <c r="AT66" s="1"/>
      <c r="AU66" s="1"/>
      <c r="AV66" s="1"/>
      <c r="AW66" s="1"/>
      <c r="AX66" s="1"/>
      <c r="AY66" s="1"/>
      <c r="AZ66" s="1" t="s">
        <v>3</v>
      </c>
      <c r="BA66" s="1"/>
      <c r="BB66" s="1" t="s">
        <v>3</v>
      </c>
      <c r="BC66" s="1" t="s">
        <v>3</v>
      </c>
      <c r="BD66" s="1" t="s">
        <v>3</v>
      </c>
      <c r="BE66" s="1" t="s">
        <v>3</v>
      </c>
      <c r="BF66" s="1" t="s">
        <v>3</v>
      </c>
      <c r="BG66" s="1" t="s">
        <v>3</v>
      </c>
      <c r="BH66" s="1" t="s">
        <v>3</v>
      </c>
      <c r="BI66" s="1" t="s">
        <v>3</v>
      </c>
      <c r="BJ66" s="1" t="s">
        <v>3</v>
      </c>
      <c r="BK66" s="1" t="s">
        <v>3</v>
      </c>
      <c r="BL66" s="1" t="s">
        <v>3</v>
      </c>
      <c r="BM66" s="1" t="s">
        <v>3</v>
      </c>
      <c r="BN66" s="1" t="s">
        <v>3</v>
      </c>
      <c r="BO66" s="1" t="s">
        <v>3</v>
      </c>
      <c r="BP66" s="1" t="s">
        <v>3</v>
      </c>
      <c r="BQ66" s="1"/>
      <c r="BR66" s="1"/>
      <c r="BS66" s="1"/>
      <c r="BT66" s="1"/>
      <c r="BU66" s="1"/>
      <c r="BV66" s="1"/>
      <c r="BW66" s="1"/>
      <c r="BX66" s="1">
        <v>0</v>
      </c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>
        <v>0</v>
      </c>
    </row>
    <row r="68" spans="1:245" x14ac:dyDescent="0.2">
      <c r="A68" s="2">
        <v>52</v>
      </c>
      <c r="B68" s="2">
        <f t="shared" ref="B68:G68" si="60">B80</f>
        <v>1</v>
      </c>
      <c r="C68" s="2">
        <f t="shared" si="60"/>
        <v>4</v>
      </c>
      <c r="D68" s="2">
        <f t="shared" si="60"/>
        <v>66</v>
      </c>
      <c r="E68" s="2">
        <f t="shared" si="60"/>
        <v>0</v>
      </c>
      <c r="F68" s="2" t="str">
        <f t="shared" si="60"/>
        <v>Новый раздел</v>
      </c>
      <c r="G68" s="2" t="str">
        <f t="shared" si="60"/>
        <v>Монтажные работы</v>
      </c>
      <c r="H68" s="2"/>
      <c r="I68" s="2"/>
      <c r="J68" s="2"/>
      <c r="K68" s="2"/>
      <c r="L68" s="2"/>
      <c r="M68" s="2"/>
      <c r="N68" s="2"/>
      <c r="O68" s="2">
        <f t="shared" ref="O68:AT68" si="61">O80</f>
        <v>458139.29</v>
      </c>
      <c r="P68" s="2">
        <f t="shared" si="61"/>
        <v>301402.36</v>
      </c>
      <c r="Q68" s="2">
        <f t="shared" si="61"/>
        <v>109707.59</v>
      </c>
      <c r="R68" s="2">
        <f t="shared" si="61"/>
        <v>62985.01</v>
      </c>
      <c r="S68" s="2">
        <f t="shared" si="61"/>
        <v>47029.34</v>
      </c>
      <c r="T68" s="2">
        <f t="shared" si="61"/>
        <v>0</v>
      </c>
      <c r="U68" s="2">
        <f t="shared" si="61"/>
        <v>185.30760433999995</v>
      </c>
      <c r="V68" s="2">
        <f t="shared" si="61"/>
        <v>0</v>
      </c>
      <c r="W68" s="2">
        <f t="shared" si="61"/>
        <v>0</v>
      </c>
      <c r="X68" s="2">
        <f t="shared" si="61"/>
        <v>42326.400000000001</v>
      </c>
      <c r="Y68" s="2">
        <f t="shared" si="61"/>
        <v>20222.62</v>
      </c>
      <c r="Z68" s="2">
        <f t="shared" si="61"/>
        <v>0</v>
      </c>
      <c r="AA68" s="2">
        <f t="shared" si="61"/>
        <v>0</v>
      </c>
      <c r="AB68" s="2">
        <f t="shared" si="61"/>
        <v>458139.29</v>
      </c>
      <c r="AC68" s="2">
        <f t="shared" si="61"/>
        <v>301402.36</v>
      </c>
      <c r="AD68" s="2">
        <f t="shared" si="61"/>
        <v>109707.59</v>
      </c>
      <c r="AE68" s="2">
        <f t="shared" si="61"/>
        <v>62985.01</v>
      </c>
      <c r="AF68" s="2">
        <f t="shared" si="61"/>
        <v>47029.34</v>
      </c>
      <c r="AG68" s="2">
        <f t="shared" si="61"/>
        <v>0</v>
      </c>
      <c r="AH68" s="2">
        <f t="shared" si="61"/>
        <v>185.30760433999995</v>
      </c>
      <c r="AI68" s="2">
        <f t="shared" si="61"/>
        <v>0</v>
      </c>
      <c r="AJ68" s="2">
        <f t="shared" si="61"/>
        <v>0</v>
      </c>
      <c r="AK68" s="2">
        <f t="shared" si="61"/>
        <v>42326.400000000001</v>
      </c>
      <c r="AL68" s="2">
        <f t="shared" si="61"/>
        <v>20222.62</v>
      </c>
      <c r="AM68" s="2">
        <f t="shared" si="61"/>
        <v>0</v>
      </c>
      <c r="AN68" s="2">
        <f t="shared" si="61"/>
        <v>0</v>
      </c>
      <c r="AO68" s="2">
        <f t="shared" si="61"/>
        <v>0</v>
      </c>
      <c r="AP68" s="2">
        <f t="shared" si="61"/>
        <v>0</v>
      </c>
      <c r="AQ68" s="2">
        <f t="shared" si="61"/>
        <v>0</v>
      </c>
      <c r="AR68" s="2">
        <f t="shared" si="61"/>
        <v>619574.77</v>
      </c>
      <c r="AS68" s="2">
        <f t="shared" si="61"/>
        <v>0</v>
      </c>
      <c r="AT68" s="2">
        <f t="shared" si="61"/>
        <v>619574.77</v>
      </c>
      <c r="AU68" s="2">
        <f t="shared" ref="AU68:BZ68" si="62">AU80</f>
        <v>0</v>
      </c>
      <c r="AV68" s="2">
        <f t="shared" si="62"/>
        <v>301402.36</v>
      </c>
      <c r="AW68" s="2">
        <f t="shared" si="62"/>
        <v>301402.36</v>
      </c>
      <c r="AX68" s="2">
        <f t="shared" si="62"/>
        <v>0</v>
      </c>
      <c r="AY68" s="2">
        <f t="shared" si="62"/>
        <v>301402.36</v>
      </c>
      <c r="AZ68" s="2">
        <f t="shared" si="62"/>
        <v>0</v>
      </c>
      <c r="BA68" s="2">
        <f t="shared" si="62"/>
        <v>0</v>
      </c>
      <c r="BB68" s="2">
        <f t="shared" si="62"/>
        <v>0</v>
      </c>
      <c r="BC68" s="2">
        <f t="shared" si="62"/>
        <v>0</v>
      </c>
      <c r="BD68" s="2">
        <f t="shared" si="62"/>
        <v>0</v>
      </c>
      <c r="BE68" s="2">
        <f t="shared" si="62"/>
        <v>0</v>
      </c>
      <c r="BF68" s="2">
        <f t="shared" si="62"/>
        <v>0</v>
      </c>
      <c r="BG68" s="2">
        <f t="shared" si="62"/>
        <v>0</v>
      </c>
      <c r="BH68" s="2">
        <f t="shared" si="62"/>
        <v>0</v>
      </c>
      <c r="BI68" s="2">
        <f t="shared" si="62"/>
        <v>0</v>
      </c>
      <c r="BJ68" s="2">
        <f t="shared" si="62"/>
        <v>0</v>
      </c>
      <c r="BK68" s="2">
        <f t="shared" si="62"/>
        <v>0</v>
      </c>
      <c r="BL68" s="2">
        <f t="shared" si="62"/>
        <v>0</v>
      </c>
      <c r="BM68" s="2">
        <f t="shared" si="62"/>
        <v>0</v>
      </c>
      <c r="BN68" s="2">
        <f t="shared" si="62"/>
        <v>0</v>
      </c>
      <c r="BO68" s="2">
        <f t="shared" si="62"/>
        <v>0</v>
      </c>
      <c r="BP68" s="2">
        <f t="shared" si="62"/>
        <v>0</v>
      </c>
      <c r="BQ68" s="2">
        <f t="shared" si="62"/>
        <v>0</v>
      </c>
      <c r="BR68" s="2">
        <f t="shared" si="62"/>
        <v>0</v>
      </c>
      <c r="BS68" s="2">
        <f t="shared" si="62"/>
        <v>0</v>
      </c>
      <c r="BT68" s="2">
        <f t="shared" si="62"/>
        <v>0</v>
      </c>
      <c r="BU68" s="2">
        <f t="shared" si="62"/>
        <v>0</v>
      </c>
      <c r="BV68" s="2">
        <f t="shared" si="62"/>
        <v>0</v>
      </c>
      <c r="BW68" s="2">
        <f t="shared" si="62"/>
        <v>0</v>
      </c>
      <c r="BX68" s="2">
        <f t="shared" si="62"/>
        <v>0</v>
      </c>
      <c r="BY68" s="2">
        <f t="shared" si="62"/>
        <v>0</v>
      </c>
      <c r="BZ68" s="2">
        <f t="shared" si="62"/>
        <v>0</v>
      </c>
      <c r="CA68" s="2">
        <f t="shared" ref="CA68:DF68" si="63">CA80</f>
        <v>619574.77</v>
      </c>
      <c r="CB68" s="2">
        <f t="shared" si="63"/>
        <v>0</v>
      </c>
      <c r="CC68" s="2">
        <f t="shared" si="63"/>
        <v>619574.77</v>
      </c>
      <c r="CD68" s="2">
        <f t="shared" si="63"/>
        <v>0</v>
      </c>
      <c r="CE68" s="2">
        <f t="shared" si="63"/>
        <v>301402.36</v>
      </c>
      <c r="CF68" s="2">
        <f t="shared" si="63"/>
        <v>301402.36</v>
      </c>
      <c r="CG68" s="2">
        <f t="shared" si="63"/>
        <v>0</v>
      </c>
      <c r="CH68" s="2">
        <f t="shared" si="63"/>
        <v>301402.36</v>
      </c>
      <c r="CI68" s="2">
        <f t="shared" si="63"/>
        <v>0</v>
      </c>
      <c r="CJ68" s="2">
        <f t="shared" si="63"/>
        <v>0</v>
      </c>
      <c r="CK68" s="2">
        <f t="shared" si="63"/>
        <v>0</v>
      </c>
      <c r="CL68" s="2">
        <f t="shared" si="63"/>
        <v>0</v>
      </c>
      <c r="CM68" s="2">
        <f t="shared" si="63"/>
        <v>0</v>
      </c>
      <c r="CN68" s="2">
        <f t="shared" si="63"/>
        <v>0</v>
      </c>
      <c r="CO68" s="2">
        <f t="shared" si="63"/>
        <v>0</v>
      </c>
      <c r="CP68" s="2">
        <f t="shared" si="63"/>
        <v>0</v>
      </c>
      <c r="CQ68" s="2">
        <f t="shared" si="63"/>
        <v>0</v>
      </c>
      <c r="CR68" s="2">
        <f t="shared" si="63"/>
        <v>0</v>
      </c>
      <c r="CS68" s="2">
        <f t="shared" si="63"/>
        <v>0</v>
      </c>
      <c r="CT68" s="2">
        <f t="shared" si="63"/>
        <v>0</v>
      </c>
      <c r="CU68" s="2">
        <f t="shared" si="63"/>
        <v>0</v>
      </c>
      <c r="CV68" s="2">
        <f t="shared" si="63"/>
        <v>0</v>
      </c>
      <c r="CW68" s="2">
        <f t="shared" si="63"/>
        <v>0</v>
      </c>
      <c r="CX68" s="2">
        <f t="shared" si="63"/>
        <v>0</v>
      </c>
      <c r="CY68" s="2">
        <f t="shared" si="63"/>
        <v>0</v>
      </c>
      <c r="CZ68" s="2">
        <f t="shared" si="63"/>
        <v>0</v>
      </c>
      <c r="DA68" s="2">
        <f t="shared" si="63"/>
        <v>0</v>
      </c>
      <c r="DB68" s="2">
        <f t="shared" si="63"/>
        <v>0</v>
      </c>
      <c r="DC68" s="2">
        <f t="shared" si="63"/>
        <v>0</v>
      </c>
      <c r="DD68" s="2">
        <f t="shared" si="63"/>
        <v>0</v>
      </c>
      <c r="DE68" s="2">
        <f t="shared" si="63"/>
        <v>0</v>
      </c>
      <c r="DF68" s="2">
        <f t="shared" si="63"/>
        <v>0</v>
      </c>
      <c r="DG68" s="3">
        <f t="shared" ref="DG68:EL68" si="64">DG80</f>
        <v>0</v>
      </c>
      <c r="DH68" s="3">
        <f t="shared" si="64"/>
        <v>0</v>
      </c>
      <c r="DI68" s="3">
        <f t="shared" si="64"/>
        <v>0</v>
      </c>
      <c r="DJ68" s="3">
        <f t="shared" si="64"/>
        <v>0</v>
      </c>
      <c r="DK68" s="3">
        <f t="shared" si="64"/>
        <v>0</v>
      </c>
      <c r="DL68" s="3">
        <f t="shared" si="64"/>
        <v>0</v>
      </c>
      <c r="DM68" s="3">
        <f t="shared" si="64"/>
        <v>0</v>
      </c>
      <c r="DN68" s="3">
        <f t="shared" si="64"/>
        <v>0</v>
      </c>
      <c r="DO68" s="3">
        <f t="shared" si="64"/>
        <v>0</v>
      </c>
      <c r="DP68" s="3">
        <f t="shared" si="64"/>
        <v>0</v>
      </c>
      <c r="DQ68" s="3">
        <f t="shared" si="64"/>
        <v>0</v>
      </c>
      <c r="DR68" s="3">
        <f t="shared" si="64"/>
        <v>0</v>
      </c>
      <c r="DS68" s="3">
        <f t="shared" si="64"/>
        <v>0</v>
      </c>
      <c r="DT68" s="3">
        <f t="shared" si="64"/>
        <v>0</v>
      </c>
      <c r="DU68" s="3">
        <f t="shared" si="64"/>
        <v>0</v>
      </c>
      <c r="DV68" s="3">
        <f t="shared" si="64"/>
        <v>0</v>
      </c>
      <c r="DW68" s="3">
        <f t="shared" si="64"/>
        <v>0</v>
      </c>
      <c r="DX68" s="3">
        <f t="shared" si="64"/>
        <v>0</v>
      </c>
      <c r="DY68" s="3">
        <f t="shared" si="64"/>
        <v>0</v>
      </c>
      <c r="DZ68" s="3">
        <f t="shared" si="64"/>
        <v>0</v>
      </c>
      <c r="EA68" s="3">
        <f t="shared" si="64"/>
        <v>0</v>
      </c>
      <c r="EB68" s="3">
        <f t="shared" si="64"/>
        <v>0</v>
      </c>
      <c r="EC68" s="3">
        <f t="shared" si="64"/>
        <v>0</v>
      </c>
      <c r="ED68" s="3">
        <f t="shared" si="64"/>
        <v>0</v>
      </c>
      <c r="EE68" s="3">
        <f t="shared" si="64"/>
        <v>0</v>
      </c>
      <c r="EF68" s="3">
        <f t="shared" si="64"/>
        <v>0</v>
      </c>
      <c r="EG68" s="3">
        <f t="shared" si="64"/>
        <v>0</v>
      </c>
      <c r="EH68" s="3">
        <f t="shared" si="64"/>
        <v>0</v>
      </c>
      <c r="EI68" s="3">
        <f t="shared" si="64"/>
        <v>0</v>
      </c>
      <c r="EJ68" s="3">
        <f t="shared" si="64"/>
        <v>0</v>
      </c>
      <c r="EK68" s="3">
        <f t="shared" si="64"/>
        <v>0</v>
      </c>
      <c r="EL68" s="3">
        <f t="shared" si="64"/>
        <v>0</v>
      </c>
      <c r="EM68" s="3">
        <f t="shared" ref="EM68:FR68" si="65">EM80</f>
        <v>0</v>
      </c>
      <c r="EN68" s="3">
        <f t="shared" si="65"/>
        <v>0</v>
      </c>
      <c r="EO68" s="3">
        <f t="shared" si="65"/>
        <v>0</v>
      </c>
      <c r="EP68" s="3">
        <f t="shared" si="65"/>
        <v>0</v>
      </c>
      <c r="EQ68" s="3">
        <f t="shared" si="65"/>
        <v>0</v>
      </c>
      <c r="ER68" s="3">
        <f t="shared" si="65"/>
        <v>0</v>
      </c>
      <c r="ES68" s="3">
        <f t="shared" si="65"/>
        <v>0</v>
      </c>
      <c r="ET68" s="3">
        <f t="shared" si="65"/>
        <v>0</v>
      </c>
      <c r="EU68" s="3">
        <f t="shared" si="65"/>
        <v>0</v>
      </c>
      <c r="EV68" s="3">
        <f t="shared" si="65"/>
        <v>0</v>
      </c>
      <c r="EW68" s="3">
        <f t="shared" si="65"/>
        <v>0</v>
      </c>
      <c r="EX68" s="3">
        <f t="shared" si="65"/>
        <v>0</v>
      </c>
      <c r="EY68" s="3">
        <f t="shared" si="65"/>
        <v>0</v>
      </c>
      <c r="EZ68" s="3">
        <f t="shared" si="65"/>
        <v>0</v>
      </c>
      <c r="FA68" s="3">
        <f t="shared" si="65"/>
        <v>0</v>
      </c>
      <c r="FB68" s="3">
        <f t="shared" si="65"/>
        <v>0</v>
      </c>
      <c r="FC68" s="3">
        <f t="shared" si="65"/>
        <v>0</v>
      </c>
      <c r="FD68" s="3">
        <f t="shared" si="65"/>
        <v>0</v>
      </c>
      <c r="FE68" s="3">
        <f t="shared" si="65"/>
        <v>0</v>
      </c>
      <c r="FF68" s="3">
        <f t="shared" si="65"/>
        <v>0</v>
      </c>
      <c r="FG68" s="3">
        <f t="shared" si="65"/>
        <v>0</v>
      </c>
      <c r="FH68" s="3">
        <f t="shared" si="65"/>
        <v>0</v>
      </c>
      <c r="FI68" s="3">
        <f t="shared" si="65"/>
        <v>0</v>
      </c>
      <c r="FJ68" s="3">
        <f t="shared" si="65"/>
        <v>0</v>
      </c>
      <c r="FK68" s="3">
        <f t="shared" si="65"/>
        <v>0</v>
      </c>
      <c r="FL68" s="3">
        <f t="shared" si="65"/>
        <v>0</v>
      </c>
      <c r="FM68" s="3">
        <f t="shared" si="65"/>
        <v>0</v>
      </c>
      <c r="FN68" s="3">
        <f t="shared" si="65"/>
        <v>0</v>
      </c>
      <c r="FO68" s="3">
        <f t="shared" si="65"/>
        <v>0</v>
      </c>
      <c r="FP68" s="3">
        <f t="shared" si="65"/>
        <v>0</v>
      </c>
      <c r="FQ68" s="3">
        <f t="shared" si="65"/>
        <v>0</v>
      </c>
      <c r="FR68" s="3">
        <f t="shared" si="65"/>
        <v>0</v>
      </c>
      <c r="FS68" s="3">
        <f t="shared" ref="FS68:GX68" si="66">FS80</f>
        <v>0</v>
      </c>
      <c r="FT68" s="3">
        <f t="shared" si="66"/>
        <v>0</v>
      </c>
      <c r="FU68" s="3">
        <f t="shared" si="66"/>
        <v>0</v>
      </c>
      <c r="FV68" s="3">
        <f t="shared" si="66"/>
        <v>0</v>
      </c>
      <c r="FW68" s="3">
        <f t="shared" si="66"/>
        <v>0</v>
      </c>
      <c r="FX68" s="3">
        <f t="shared" si="66"/>
        <v>0</v>
      </c>
      <c r="FY68" s="3">
        <f t="shared" si="66"/>
        <v>0</v>
      </c>
      <c r="FZ68" s="3">
        <f t="shared" si="66"/>
        <v>0</v>
      </c>
      <c r="GA68" s="3">
        <f t="shared" si="66"/>
        <v>0</v>
      </c>
      <c r="GB68" s="3">
        <f t="shared" si="66"/>
        <v>0</v>
      </c>
      <c r="GC68" s="3">
        <f t="shared" si="66"/>
        <v>0</v>
      </c>
      <c r="GD68" s="3">
        <f t="shared" si="66"/>
        <v>0</v>
      </c>
      <c r="GE68" s="3">
        <f t="shared" si="66"/>
        <v>0</v>
      </c>
      <c r="GF68" s="3">
        <f t="shared" si="66"/>
        <v>0</v>
      </c>
      <c r="GG68" s="3">
        <f t="shared" si="66"/>
        <v>0</v>
      </c>
      <c r="GH68" s="3">
        <f t="shared" si="66"/>
        <v>0</v>
      </c>
      <c r="GI68" s="3">
        <f t="shared" si="66"/>
        <v>0</v>
      </c>
      <c r="GJ68" s="3">
        <f t="shared" si="66"/>
        <v>0</v>
      </c>
      <c r="GK68" s="3">
        <f t="shared" si="66"/>
        <v>0</v>
      </c>
      <c r="GL68" s="3">
        <f t="shared" si="66"/>
        <v>0</v>
      </c>
      <c r="GM68" s="3">
        <f t="shared" si="66"/>
        <v>0</v>
      </c>
      <c r="GN68" s="3">
        <f t="shared" si="66"/>
        <v>0</v>
      </c>
      <c r="GO68" s="3">
        <f t="shared" si="66"/>
        <v>0</v>
      </c>
      <c r="GP68" s="3">
        <f t="shared" si="66"/>
        <v>0</v>
      </c>
      <c r="GQ68" s="3">
        <f t="shared" si="66"/>
        <v>0</v>
      </c>
      <c r="GR68" s="3">
        <f t="shared" si="66"/>
        <v>0</v>
      </c>
      <c r="GS68" s="3">
        <f t="shared" si="66"/>
        <v>0</v>
      </c>
      <c r="GT68" s="3">
        <f t="shared" si="66"/>
        <v>0</v>
      </c>
      <c r="GU68" s="3">
        <f t="shared" si="66"/>
        <v>0</v>
      </c>
      <c r="GV68" s="3">
        <f t="shared" si="66"/>
        <v>0</v>
      </c>
      <c r="GW68" s="3">
        <f t="shared" si="66"/>
        <v>0</v>
      </c>
      <c r="GX68" s="3">
        <f t="shared" si="66"/>
        <v>0</v>
      </c>
    </row>
    <row r="70" spans="1:245" x14ac:dyDescent="0.2">
      <c r="A70">
        <v>17</v>
      </c>
      <c r="B70">
        <v>1</v>
      </c>
      <c r="E70" t="s">
        <v>15</v>
      </c>
      <c r="F70" t="s">
        <v>126</v>
      </c>
      <c r="G70" t="s">
        <v>127</v>
      </c>
      <c r="H70" t="s">
        <v>128</v>
      </c>
      <c r="I70">
        <f>ROUND(417/100,9)</f>
        <v>4.17</v>
      </c>
      <c r="J70">
        <v>0</v>
      </c>
      <c r="O70">
        <f t="shared" ref="O70:O78" si="67">ROUND(CP70,2)</f>
        <v>22954.92</v>
      </c>
      <c r="P70">
        <f t="shared" ref="P70:P78" si="68">ROUND(CQ70*I70,2)</f>
        <v>12.67</v>
      </c>
      <c r="Q70">
        <f t="shared" ref="Q70:Q78" si="69">ROUND(CR70*I70,2)</f>
        <v>14986.25</v>
      </c>
      <c r="R70">
        <f t="shared" ref="R70:R78" si="70">ROUND(CS70*I70,2)</f>
        <v>9535.1</v>
      </c>
      <c r="S70">
        <f t="shared" ref="S70:S78" si="71">ROUND(CT70*I70,2)</f>
        <v>7956</v>
      </c>
      <c r="T70">
        <f t="shared" ref="T70:T78" si="72">ROUND(CU70*I70,2)</f>
        <v>0</v>
      </c>
      <c r="U70">
        <f t="shared" ref="U70:U78" si="73">CV70*I70</f>
        <v>31.110134879999997</v>
      </c>
      <c r="V70">
        <f t="shared" ref="V70:V78" si="74">CW70*I70</f>
        <v>0</v>
      </c>
      <c r="W70">
        <f t="shared" ref="W70:W78" si="75">ROUND(CX70*I70,2)</f>
        <v>0</v>
      </c>
      <c r="X70">
        <f t="shared" ref="X70:X78" si="76">ROUND(CY70,2)</f>
        <v>7160.4</v>
      </c>
      <c r="Y70">
        <f t="shared" ref="Y70:Y78" si="77">ROUND(CZ70,2)</f>
        <v>3421.08</v>
      </c>
      <c r="AA70">
        <v>35678934</v>
      </c>
      <c r="AB70">
        <f t="shared" ref="AB70:AB78" si="78">ROUND((AC70+AD70+AF70),6)</f>
        <v>531.71050000000002</v>
      </c>
      <c r="AC70">
        <f t="shared" ref="AC70:AC78" si="79">ROUND((ES70),6)</f>
        <v>0.56000000000000005</v>
      </c>
      <c r="AD70">
        <f t="shared" ref="AD70:AF72" si="80">ROUND(((ET70*1.15)),6)</f>
        <v>444.935</v>
      </c>
      <c r="AE70">
        <f t="shared" si="80"/>
        <v>103.3275</v>
      </c>
      <c r="AF70">
        <f t="shared" si="80"/>
        <v>86.215500000000006</v>
      </c>
      <c r="AG70">
        <f t="shared" ref="AG70:AG78" si="81">ROUND((AP70),6)</f>
        <v>0</v>
      </c>
      <c r="AH70">
        <f t="shared" ref="AH70:AI72" si="82">((EW70*1.15))</f>
        <v>6.9919999999999991</v>
      </c>
      <c r="AI70">
        <f t="shared" si="82"/>
        <v>0</v>
      </c>
      <c r="AJ70">
        <f t="shared" ref="AJ70:AJ78" si="83">(AS70)</f>
        <v>0</v>
      </c>
      <c r="AK70">
        <v>462.43</v>
      </c>
      <c r="AL70">
        <v>0.56000000000000005</v>
      </c>
      <c r="AM70">
        <v>386.9</v>
      </c>
      <c r="AN70">
        <v>89.85</v>
      </c>
      <c r="AO70">
        <v>74.97</v>
      </c>
      <c r="AP70">
        <v>0</v>
      </c>
      <c r="AQ70">
        <v>6.08</v>
      </c>
      <c r="AR70">
        <v>0</v>
      </c>
      <c r="AS70">
        <v>0</v>
      </c>
      <c r="AT70">
        <v>90</v>
      </c>
      <c r="AU70">
        <v>43</v>
      </c>
      <c r="AV70">
        <v>1.0669999999999999</v>
      </c>
      <c r="AW70">
        <v>1.081</v>
      </c>
      <c r="AZ70">
        <v>1</v>
      </c>
      <c r="BA70">
        <v>20.74</v>
      </c>
      <c r="BB70">
        <v>7.57</v>
      </c>
      <c r="BC70">
        <v>5.0199999999999996</v>
      </c>
      <c r="BD70" t="s">
        <v>3</v>
      </c>
      <c r="BE70" t="s">
        <v>3</v>
      </c>
      <c r="BF70" t="s">
        <v>3</v>
      </c>
      <c r="BG70" t="s">
        <v>3</v>
      </c>
      <c r="BH70">
        <v>0</v>
      </c>
      <c r="BI70">
        <v>2</v>
      </c>
      <c r="BJ70" t="s">
        <v>129</v>
      </c>
      <c r="BM70">
        <v>318</v>
      </c>
      <c r="BN70">
        <v>0</v>
      </c>
      <c r="BO70" t="s">
        <v>126</v>
      </c>
      <c r="BP70">
        <v>1</v>
      </c>
      <c r="BQ70">
        <v>40</v>
      </c>
      <c r="BR70">
        <v>0</v>
      </c>
      <c r="BS70">
        <v>20.74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90</v>
      </c>
      <c r="CA70">
        <v>43</v>
      </c>
      <c r="CE70">
        <v>0</v>
      </c>
      <c r="CF70">
        <v>0</v>
      </c>
      <c r="CG70">
        <v>0</v>
      </c>
      <c r="CM70">
        <v>0</v>
      </c>
      <c r="CN70" t="s">
        <v>208</v>
      </c>
      <c r="CO70">
        <v>0</v>
      </c>
      <c r="CP70">
        <f t="shared" ref="CP70:CP78" si="84">(P70+Q70+S70)</f>
        <v>22954.92</v>
      </c>
      <c r="CQ70">
        <f t="shared" ref="CQ70:CQ78" si="85">(AC70*BC70*AW70)</f>
        <v>3.0389071999999997</v>
      </c>
      <c r="CR70">
        <f t="shared" ref="CR70:CR78" si="86">(AD70*BB70*AV70)</f>
        <v>3593.82453265</v>
      </c>
      <c r="CS70">
        <f t="shared" ref="CS70:CS78" si="87">(AE70*BS70*AV70)</f>
        <v>2286.5941774499997</v>
      </c>
      <c r="CT70">
        <f t="shared" ref="CT70:CT78" si="88">(AF70*BA70*AV70)</f>
        <v>1907.9128044899999</v>
      </c>
      <c r="CU70">
        <f t="shared" ref="CU70:CU78" si="89">AG70</f>
        <v>0</v>
      </c>
      <c r="CV70">
        <f t="shared" ref="CV70:CV78" si="90">(AH70*AV70)</f>
        <v>7.4604639999999991</v>
      </c>
      <c r="CW70">
        <f t="shared" ref="CW70:CW78" si="91">AI70</f>
        <v>0</v>
      </c>
      <c r="CX70">
        <f t="shared" ref="CX70:CX78" si="92">AJ70</f>
        <v>0</v>
      </c>
      <c r="CY70">
        <f t="shared" ref="CY70:CY78" si="93">S70*(BZ70/100)</f>
        <v>7160.4000000000005</v>
      </c>
      <c r="CZ70">
        <f t="shared" ref="CZ70:CZ78" si="94">S70*(CA70/100)</f>
        <v>3421.08</v>
      </c>
      <c r="DC70" t="s">
        <v>3</v>
      </c>
      <c r="DD70" t="s">
        <v>3</v>
      </c>
      <c r="DE70" t="s">
        <v>21</v>
      </c>
      <c r="DF70" t="s">
        <v>21</v>
      </c>
      <c r="DG70" t="s">
        <v>21</v>
      </c>
      <c r="DH70" t="s">
        <v>3</v>
      </c>
      <c r="DI70" t="s">
        <v>21</v>
      </c>
      <c r="DJ70" t="s">
        <v>21</v>
      </c>
      <c r="DK70" t="s">
        <v>3</v>
      </c>
      <c r="DL70" t="s">
        <v>3</v>
      </c>
      <c r="DM70" t="s">
        <v>3</v>
      </c>
      <c r="DN70">
        <v>112</v>
      </c>
      <c r="DO70">
        <v>70</v>
      </c>
      <c r="DP70">
        <v>1.0669999999999999</v>
      </c>
      <c r="DQ70">
        <v>1.081</v>
      </c>
      <c r="DU70">
        <v>1003</v>
      </c>
      <c r="DV70" t="s">
        <v>128</v>
      </c>
      <c r="DW70" t="s">
        <v>128</v>
      </c>
      <c r="DX70">
        <v>100</v>
      </c>
      <c r="EE70">
        <v>35104181</v>
      </c>
      <c r="EF70">
        <v>40</v>
      </c>
      <c r="EG70" t="s">
        <v>130</v>
      </c>
      <c r="EH70">
        <v>0</v>
      </c>
      <c r="EI70" t="s">
        <v>3</v>
      </c>
      <c r="EJ70">
        <v>2</v>
      </c>
      <c r="EK70">
        <v>318</v>
      </c>
      <c r="EL70" t="s">
        <v>131</v>
      </c>
      <c r="EM70" t="s">
        <v>132</v>
      </c>
      <c r="EO70" t="s">
        <v>133</v>
      </c>
      <c r="EQ70">
        <v>0</v>
      </c>
      <c r="ER70">
        <v>462.43</v>
      </c>
      <c r="ES70">
        <v>0.56000000000000005</v>
      </c>
      <c r="ET70">
        <v>386.9</v>
      </c>
      <c r="EU70">
        <v>89.85</v>
      </c>
      <c r="EV70">
        <v>74.97</v>
      </c>
      <c r="EW70">
        <v>6.08</v>
      </c>
      <c r="EX70">
        <v>0</v>
      </c>
      <c r="EY70">
        <v>0</v>
      </c>
      <c r="FQ70">
        <v>0</v>
      </c>
      <c r="FR70">
        <f t="shared" ref="FR70:FR78" si="95">ROUND(IF(AND(BH70=3,BI70=3),P70,0),2)</f>
        <v>0</v>
      </c>
      <c r="FS70">
        <v>0</v>
      </c>
      <c r="FX70">
        <v>112</v>
      </c>
      <c r="FY70">
        <v>70</v>
      </c>
      <c r="GA70" t="s">
        <v>3</v>
      </c>
      <c r="GD70">
        <v>0</v>
      </c>
      <c r="GF70">
        <v>-1499495025</v>
      </c>
      <c r="GG70">
        <v>2</v>
      </c>
      <c r="GH70">
        <v>1</v>
      </c>
      <c r="GI70">
        <v>2</v>
      </c>
      <c r="GJ70">
        <v>0</v>
      </c>
      <c r="GK70">
        <f>ROUND(R70*(R12)/100,2)</f>
        <v>14970.11</v>
      </c>
      <c r="GL70">
        <f t="shared" ref="GL70:GL78" si="96">ROUND(IF(AND(BH70=3,BI70=3,FS70&lt;&gt;0),P70,0),2)</f>
        <v>0</v>
      </c>
      <c r="GM70">
        <f t="shared" ref="GM70:GM78" si="97">ROUND(O70+X70+Y70+GK70,2)+GX70</f>
        <v>48506.51</v>
      </c>
      <c r="GN70">
        <f t="shared" ref="GN70:GN78" si="98">IF(OR(BI70=0,BI70=1),ROUND(O70+X70+Y70+GK70,2),0)</f>
        <v>0</v>
      </c>
      <c r="GO70">
        <f t="shared" ref="GO70:GO78" si="99">IF(BI70=2,ROUND(O70+X70+Y70+GK70,2),0)</f>
        <v>48506.51</v>
      </c>
      <c r="GP70">
        <f t="shared" ref="GP70:GP78" si="100">IF(BI70=4,ROUND(O70+X70+Y70+GK70,2)+GX70,0)</f>
        <v>0</v>
      </c>
      <c r="GR70">
        <v>0</v>
      </c>
      <c r="GS70">
        <v>3</v>
      </c>
      <c r="GT70">
        <v>0</v>
      </c>
      <c r="GU70" t="s">
        <v>3</v>
      </c>
      <c r="GV70">
        <f t="shared" ref="GV70:GV78" si="101">ROUND((GT70),6)</f>
        <v>0</v>
      </c>
      <c r="GW70">
        <v>1</v>
      </c>
      <c r="GX70">
        <f t="shared" ref="GX70:GX78" si="102">ROUND(HC70*I70,2)</f>
        <v>0</v>
      </c>
      <c r="HA70">
        <v>0</v>
      </c>
      <c r="HB70">
        <v>0</v>
      </c>
      <c r="HC70">
        <f t="shared" ref="HC70:HC78" si="103">GV70*GW70</f>
        <v>0</v>
      </c>
      <c r="IK70">
        <v>0</v>
      </c>
    </row>
    <row r="71" spans="1:245" x14ac:dyDescent="0.2">
      <c r="A71">
        <v>17</v>
      </c>
      <c r="B71">
        <v>1</v>
      </c>
      <c r="E71" t="s">
        <v>26</v>
      </c>
      <c r="F71" t="s">
        <v>134</v>
      </c>
      <c r="G71" t="s">
        <v>135</v>
      </c>
      <c r="H71" t="s">
        <v>128</v>
      </c>
      <c r="I71">
        <f>ROUND(417/100,9)</f>
        <v>4.17</v>
      </c>
      <c r="J71">
        <v>0</v>
      </c>
      <c r="O71">
        <f t="shared" si="67"/>
        <v>7283.47</v>
      </c>
      <c r="P71">
        <f t="shared" si="68"/>
        <v>4.75</v>
      </c>
      <c r="Q71">
        <f t="shared" si="69"/>
        <v>4295.62</v>
      </c>
      <c r="R71">
        <f t="shared" si="70"/>
        <v>2732.65</v>
      </c>
      <c r="S71">
        <f t="shared" si="71"/>
        <v>2983.1</v>
      </c>
      <c r="T71">
        <f t="shared" si="72"/>
        <v>0</v>
      </c>
      <c r="U71">
        <f t="shared" si="73"/>
        <v>11.666300579999996</v>
      </c>
      <c r="V71">
        <f t="shared" si="74"/>
        <v>0</v>
      </c>
      <c r="W71">
        <f t="shared" si="75"/>
        <v>0</v>
      </c>
      <c r="X71">
        <f t="shared" si="76"/>
        <v>2684.79</v>
      </c>
      <c r="Y71">
        <f t="shared" si="77"/>
        <v>1282.73</v>
      </c>
      <c r="AA71">
        <v>35678934</v>
      </c>
      <c r="AB71">
        <f t="shared" si="78"/>
        <v>160.07149999999999</v>
      </c>
      <c r="AC71">
        <f t="shared" si="79"/>
        <v>0.21</v>
      </c>
      <c r="AD71">
        <f t="shared" si="80"/>
        <v>127.535</v>
      </c>
      <c r="AE71">
        <f t="shared" si="80"/>
        <v>29.612500000000001</v>
      </c>
      <c r="AF71">
        <f t="shared" si="80"/>
        <v>32.326500000000003</v>
      </c>
      <c r="AG71">
        <f t="shared" si="81"/>
        <v>0</v>
      </c>
      <c r="AH71">
        <f t="shared" si="82"/>
        <v>2.6219999999999994</v>
      </c>
      <c r="AI71">
        <f t="shared" si="82"/>
        <v>0</v>
      </c>
      <c r="AJ71">
        <f t="shared" si="83"/>
        <v>0</v>
      </c>
      <c r="AK71">
        <v>139.22</v>
      </c>
      <c r="AL71">
        <v>0.21</v>
      </c>
      <c r="AM71">
        <v>110.9</v>
      </c>
      <c r="AN71">
        <v>25.75</v>
      </c>
      <c r="AO71">
        <v>28.11</v>
      </c>
      <c r="AP71">
        <v>0</v>
      </c>
      <c r="AQ71">
        <v>2.2799999999999998</v>
      </c>
      <c r="AR71">
        <v>0</v>
      </c>
      <c r="AS71">
        <v>0</v>
      </c>
      <c r="AT71">
        <v>90</v>
      </c>
      <c r="AU71">
        <v>43</v>
      </c>
      <c r="AV71">
        <v>1.0669999999999999</v>
      </c>
      <c r="AW71">
        <v>1.081</v>
      </c>
      <c r="AZ71">
        <v>1</v>
      </c>
      <c r="BA71">
        <v>20.74</v>
      </c>
      <c r="BB71">
        <v>7.57</v>
      </c>
      <c r="BC71">
        <v>5.0199999999999996</v>
      </c>
      <c r="BD71" t="s">
        <v>3</v>
      </c>
      <c r="BE71" t="s">
        <v>3</v>
      </c>
      <c r="BF71" t="s">
        <v>3</v>
      </c>
      <c r="BG71" t="s">
        <v>3</v>
      </c>
      <c r="BH71">
        <v>0</v>
      </c>
      <c r="BI71">
        <v>2</v>
      </c>
      <c r="BJ71" t="s">
        <v>136</v>
      </c>
      <c r="BM71">
        <v>318</v>
      </c>
      <c r="BN71">
        <v>0</v>
      </c>
      <c r="BO71" t="s">
        <v>134</v>
      </c>
      <c r="BP71">
        <v>1</v>
      </c>
      <c r="BQ71">
        <v>40</v>
      </c>
      <c r="BR71">
        <v>0</v>
      </c>
      <c r="BS71">
        <v>20.74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90</v>
      </c>
      <c r="CA71">
        <v>43</v>
      </c>
      <c r="CE71">
        <v>0</v>
      </c>
      <c r="CF71">
        <v>0</v>
      </c>
      <c r="CG71">
        <v>0</v>
      </c>
      <c r="CM71">
        <v>0</v>
      </c>
      <c r="CN71" t="s">
        <v>208</v>
      </c>
      <c r="CO71">
        <v>0</v>
      </c>
      <c r="CP71">
        <f t="shared" si="84"/>
        <v>7283.4699999999993</v>
      </c>
      <c r="CQ71">
        <f t="shared" si="85"/>
        <v>1.1395901999999998</v>
      </c>
      <c r="CR71">
        <f t="shared" si="86"/>
        <v>1030.12442665</v>
      </c>
      <c r="CS71">
        <f t="shared" si="87"/>
        <v>655.31218774999991</v>
      </c>
      <c r="CT71">
        <f t="shared" si="88"/>
        <v>715.37186786999996</v>
      </c>
      <c r="CU71">
        <f t="shared" si="89"/>
        <v>0</v>
      </c>
      <c r="CV71">
        <f t="shared" si="90"/>
        <v>2.7976739999999993</v>
      </c>
      <c r="CW71">
        <f t="shared" si="91"/>
        <v>0</v>
      </c>
      <c r="CX71">
        <f t="shared" si="92"/>
        <v>0</v>
      </c>
      <c r="CY71">
        <f t="shared" si="93"/>
        <v>2684.79</v>
      </c>
      <c r="CZ71">
        <f t="shared" si="94"/>
        <v>1282.7329999999999</v>
      </c>
      <c r="DC71" t="s">
        <v>3</v>
      </c>
      <c r="DD71" t="s">
        <v>3</v>
      </c>
      <c r="DE71" t="s">
        <v>21</v>
      </c>
      <c r="DF71" t="s">
        <v>21</v>
      </c>
      <c r="DG71" t="s">
        <v>21</v>
      </c>
      <c r="DH71" t="s">
        <v>3</v>
      </c>
      <c r="DI71" t="s">
        <v>21</v>
      </c>
      <c r="DJ71" t="s">
        <v>21</v>
      </c>
      <c r="DK71" t="s">
        <v>3</v>
      </c>
      <c r="DL71" t="s">
        <v>3</v>
      </c>
      <c r="DM71" t="s">
        <v>3</v>
      </c>
      <c r="DN71">
        <v>112</v>
      </c>
      <c r="DO71">
        <v>70</v>
      </c>
      <c r="DP71">
        <v>1.0669999999999999</v>
      </c>
      <c r="DQ71">
        <v>1.081</v>
      </c>
      <c r="DU71">
        <v>1003</v>
      </c>
      <c r="DV71" t="s">
        <v>128</v>
      </c>
      <c r="DW71" t="s">
        <v>128</v>
      </c>
      <c r="DX71">
        <v>100</v>
      </c>
      <c r="EE71">
        <v>35104181</v>
      </c>
      <c r="EF71">
        <v>40</v>
      </c>
      <c r="EG71" t="s">
        <v>130</v>
      </c>
      <c r="EH71">
        <v>0</v>
      </c>
      <c r="EI71" t="s">
        <v>3</v>
      </c>
      <c r="EJ71">
        <v>2</v>
      </c>
      <c r="EK71">
        <v>318</v>
      </c>
      <c r="EL71" t="s">
        <v>131</v>
      </c>
      <c r="EM71" t="s">
        <v>132</v>
      </c>
      <c r="EO71" t="s">
        <v>133</v>
      </c>
      <c r="EQ71">
        <v>0</v>
      </c>
      <c r="ER71">
        <v>139.22</v>
      </c>
      <c r="ES71">
        <v>0.21</v>
      </c>
      <c r="ET71">
        <v>110.9</v>
      </c>
      <c r="EU71">
        <v>25.75</v>
      </c>
      <c r="EV71">
        <v>28.11</v>
      </c>
      <c r="EW71">
        <v>2.2799999999999998</v>
      </c>
      <c r="EX71">
        <v>0</v>
      </c>
      <c r="EY71">
        <v>0</v>
      </c>
      <c r="FQ71">
        <v>0</v>
      </c>
      <c r="FR71">
        <f t="shared" si="95"/>
        <v>0</v>
      </c>
      <c r="FS71">
        <v>0</v>
      </c>
      <c r="FX71">
        <v>112</v>
      </c>
      <c r="FY71">
        <v>70</v>
      </c>
      <c r="GA71" t="s">
        <v>3</v>
      </c>
      <c r="GD71">
        <v>0</v>
      </c>
      <c r="GF71">
        <v>-1668583559</v>
      </c>
      <c r="GG71">
        <v>2</v>
      </c>
      <c r="GH71">
        <v>1</v>
      </c>
      <c r="GI71">
        <v>2</v>
      </c>
      <c r="GJ71">
        <v>0</v>
      </c>
      <c r="GK71">
        <f>ROUND(R71*(R12)/100,2)</f>
        <v>4290.26</v>
      </c>
      <c r="GL71">
        <f t="shared" si="96"/>
        <v>0</v>
      </c>
      <c r="GM71">
        <f t="shared" si="97"/>
        <v>15541.25</v>
      </c>
      <c r="GN71">
        <f t="shared" si="98"/>
        <v>0</v>
      </c>
      <c r="GO71">
        <f t="shared" si="99"/>
        <v>15541.25</v>
      </c>
      <c r="GP71">
        <f t="shared" si="100"/>
        <v>0</v>
      </c>
      <c r="GR71">
        <v>0</v>
      </c>
      <c r="GS71">
        <v>3</v>
      </c>
      <c r="GT71">
        <v>0</v>
      </c>
      <c r="GU71" t="s">
        <v>3</v>
      </c>
      <c r="GV71">
        <f t="shared" si="101"/>
        <v>0</v>
      </c>
      <c r="GW71">
        <v>1</v>
      </c>
      <c r="GX71">
        <f t="shared" si="102"/>
        <v>0</v>
      </c>
      <c r="HA71">
        <v>0</v>
      </c>
      <c r="HB71">
        <v>0</v>
      </c>
      <c r="HC71">
        <f t="shared" si="103"/>
        <v>0</v>
      </c>
      <c r="IK71">
        <v>0</v>
      </c>
    </row>
    <row r="72" spans="1:245" x14ac:dyDescent="0.2">
      <c r="A72">
        <v>17</v>
      </c>
      <c r="B72">
        <v>1</v>
      </c>
      <c r="E72" t="s">
        <v>137</v>
      </c>
      <c r="F72" t="s">
        <v>138</v>
      </c>
      <c r="G72" t="s">
        <v>139</v>
      </c>
      <c r="H72" t="s">
        <v>128</v>
      </c>
      <c r="I72">
        <f>ROUND(200/100,9)</f>
        <v>2</v>
      </c>
      <c r="J72">
        <v>0</v>
      </c>
      <c r="O72">
        <f t="shared" si="67"/>
        <v>12683.78</v>
      </c>
      <c r="P72">
        <f t="shared" si="68"/>
        <v>382.14</v>
      </c>
      <c r="Q72">
        <f t="shared" si="69"/>
        <v>5398.34</v>
      </c>
      <c r="R72">
        <f t="shared" si="70"/>
        <v>3569.99</v>
      </c>
      <c r="S72">
        <f t="shared" si="71"/>
        <v>6903.3</v>
      </c>
      <c r="T72">
        <f t="shared" si="72"/>
        <v>0</v>
      </c>
      <c r="U72">
        <f t="shared" si="73"/>
        <v>26.995099999999997</v>
      </c>
      <c r="V72">
        <f t="shared" si="74"/>
        <v>0</v>
      </c>
      <c r="W72">
        <f t="shared" si="75"/>
        <v>0</v>
      </c>
      <c r="X72">
        <f t="shared" si="76"/>
        <v>6212.97</v>
      </c>
      <c r="Y72">
        <f t="shared" si="77"/>
        <v>2968.42</v>
      </c>
      <c r="AA72">
        <v>35678934</v>
      </c>
      <c r="AB72">
        <f t="shared" si="78"/>
        <v>641.30600000000004</v>
      </c>
      <c r="AC72">
        <f t="shared" si="79"/>
        <v>35.21</v>
      </c>
      <c r="AD72">
        <f t="shared" si="80"/>
        <v>450.12150000000003</v>
      </c>
      <c r="AE72">
        <f t="shared" si="80"/>
        <v>80.661000000000001</v>
      </c>
      <c r="AF72">
        <f t="shared" si="80"/>
        <v>155.97450000000001</v>
      </c>
      <c r="AG72">
        <f t="shared" si="81"/>
        <v>0</v>
      </c>
      <c r="AH72">
        <f t="shared" si="82"/>
        <v>12.649999999999999</v>
      </c>
      <c r="AI72">
        <f t="shared" si="82"/>
        <v>0</v>
      </c>
      <c r="AJ72">
        <f t="shared" si="83"/>
        <v>0</v>
      </c>
      <c r="AK72">
        <v>562.25</v>
      </c>
      <c r="AL72">
        <v>35.21</v>
      </c>
      <c r="AM72">
        <v>391.41</v>
      </c>
      <c r="AN72">
        <v>70.14</v>
      </c>
      <c r="AO72">
        <v>135.63</v>
      </c>
      <c r="AP72">
        <v>0</v>
      </c>
      <c r="AQ72">
        <v>11</v>
      </c>
      <c r="AR72">
        <v>0</v>
      </c>
      <c r="AS72">
        <v>0</v>
      </c>
      <c r="AT72">
        <v>90</v>
      </c>
      <c r="AU72">
        <v>43</v>
      </c>
      <c r="AV72">
        <v>1.0669999999999999</v>
      </c>
      <c r="AW72">
        <v>1.081</v>
      </c>
      <c r="AZ72">
        <v>1</v>
      </c>
      <c r="BA72">
        <v>20.74</v>
      </c>
      <c r="BB72">
        <v>5.62</v>
      </c>
      <c r="BC72">
        <v>5.0199999999999996</v>
      </c>
      <c r="BD72" t="s">
        <v>3</v>
      </c>
      <c r="BE72" t="s">
        <v>3</v>
      </c>
      <c r="BF72" t="s">
        <v>3</v>
      </c>
      <c r="BG72" t="s">
        <v>3</v>
      </c>
      <c r="BH72">
        <v>0</v>
      </c>
      <c r="BI72">
        <v>2</v>
      </c>
      <c r="BJ72" t="s">
        <v>140</v>
      </c>
      <c r="BM72">
        <v>318</v>
      </c>
      <c r="BN72">
        <v>0</v>
      </c>
      <c r="BO72" t="s">
        <v>138</v>
      </c>
      <c r="BP72">
        <v>1</v>
      </c>
      <c r="BQ72">
        <v>40</v>
      </c>
      <c r="BR72">
        <v>0</v>
      </c>
      <c r="BS72">
        <v>20.74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90</v>
      </c>
      <c r="CA72">
        <v>43</v>
      </c>
      <c r="CE72">
        <v>0</v>
      </c>
      <c r="CF72">
        <v>0</v>
      </c>
      <c r="CG72">
        <v>0</v>
      </c>
      <c r="CM72">
        <v>0</v>
      </c>
      <c r="CN72" t="s">
        <v>208</v>
      </c>
      <c r="CO72">
        <v>0</v>
      </c>
      <c r="CP72">
        <f t="shared" si="84"/>
        <v>12683.78</v>
      </c>
      <c r="CQ72">
        <f t="shared" si="85"/>
        <v>191.07129019999999</v>
      </c>
      <c r="CR72">
        <f t="shared" si="86"/>
        <v>2699.1715796100002</v>
      </c>
      <c r="CS72">
        <f t="shared" si="87"/>
        <v>1784.9940523799999</v>
      </c>
      <c r="CT72">
        <f t="shared" si="88"/>
        <v>3451.65017571</v>
      </c>
      <c r="CU72">
        <f t="shared" si="89"/>
        <v>0</v>
      </c>
      <c r="CV72">
        <f t="shared" si="90"/>
        <v>13.497549999999999</v>
      </c>
      <c r="CW72">
        <f t="shared" si="91"/>
        <v>0</v>
      </c>
      <c r="CX72">
        <f t="shared" si="92"/>
        <v>0</v>
      </c>
      <c r="CY72">
        <f t="shared" si="93"/>
        <v>6212.97</v>
      </c>
      <c r="CZ72">
        <f t="shared" si="94"/>
        <v>2968.4189999999999</v>
      </c>
      <c r="DC72" t="s">
        <v>3</v>
      </c>
      <c r="DD72" t="s">
        <v>3</v>
      </c>
      <c r="DE72" t="s">
        <v>21</v>
      </c>
      <c r="DF72" t="s">
        <v>21</v>
      </c>
      <c r="DG72" t="s">
        <v>21</v>
      </c>
      <c r="DH72" t="s">
        <v>3</v>
      </c>
      <c r="DI72" t="s">
        <v>21</v>
      </c>
      <c r="DJ72" t="s">
        <v>21</v>
      </c>
      <c r="DK72" t="s">
        <v>3</v>
      </c>
      <c r="DL72" t="s">
        <v>3</v>
      </c>
      <c r="DM72" t="s">
        <v>3</v>
      </c>
      <c r="DN72">
        <v>112</v>
      </c>
      <c r="DO72">
        <v>70</v>
      </c>
      <c r="DP72">
        <v>1.0669999999999999</v>
      </c>
      <c r="DQ72">
        <v>1.081</v>
      </c>
      <c r="DU72">
        <v>1003</v>
      </c>
      <c r="DV72" t="s">
        <v>128</v>
      </c>
      <c r="DW72" t="s">
        <v>128</v>
      </c>
      <c r="DX72">
        <v>100</v>
      </c>
      <c r="EE72">
        <v>35104181</v>
      </c>
      <c r="EF72">
        <v>40</v>
      </c>
      <c r="EG72" t="s">
        <v>130</v>
      </c>
      <c r="EH72">
        <v>0</v>
      </c>
      <c r="EI72" t="s">
        <v>3</v>
      </c>
      <c r="EJ72">
        <v>2</v>
      </c>
      <c r="EK72">
        <v>318</v>
      </c>
      <c r="EL72" t="s">
        <v>131</v>
      </c>
      <c r="EM72" t="s">
        <v>132</v>
      </c>
      <c r="EO72" t="s">
        <v>133</v>
      </c>
      <c r="EQ72">
        <v>0</v>
      </c>
      <c r="ER72">
        <v>562.25</v>
      </c>
      <c r="ES72">
        <v>35.21</v>
      </c>
      <c r="ET72">
        <v>391.41</v>
      </c>
      <c r="EU72">
        <v>70.14</v>
      </c>
      <c r="EV72">
        <v>135.63</v>
      </c>
      <c r="EW72">
        <v>11</v>
      </c>
      <c r="EX72">
        <v>0</v>
      </c>
      <c r="EY72">
        <v>0</v>
      </c>
      <c r="FQ72">
        <v>0</v>
      </c>
      <c r="FR72">
        <f t="shared" si="95"/>
        <v>0</v>
      </c>
      <c r="FS72">
        <v>0</v>
      </c>
      <c r="FX72">
        <v>112</v>
      </c>
      <c r="FY72">
        <v>70</v>
      </c>
      <c r="GA72" t="s">
        <v>3</v>
      </c>
      <c r="GD72">
        <v>0</v>
      </c>
      <c r="GF72">
        <v>540075894</v>
      </c>
      <c r="GG72">
        <v>2</v>
      </c>
      <c r="GH72">
        <v>1</v>
      </c>
      <c r="GI72">
        <v>2</v>
      </c>
      <c r="GJ72">
        <v>0</v>
      </c>
      <c r="GK72">
        <f>ROUND(R72*(R12)/100,2)</f>
        <v>5604.88</v>
      </c>
      <c r="GL72">
        <f t="shared" si="96"/>
        <v>0</v>
      </c>
      <c r="GM72">
        <f t="shared" si="97"/>
        <v>27470.05</v>
      </c>
      <c r="GN72">
        <f t="shared" si="98"/>
        <v>0</v>
      </c>
      <c r="GO72">
        <f t="shared" si="99"/>
        <v>27470.05</v>
      </c>
      <c r="GP72">
        <f t="shared" si="100"/>
        <v>0</v>
      </c>
      <c r="GR72">
        <v>0</v>
      </c>
      <c r="GS72">
        <v>3</v>
      </c>
      <c r="GT72">
        <v>0</v>
      </c>
      <c r="GU72" t="s">
        <v>3</v>
      </c>
      <c r="GV72">
        <f t="shared" si="101"/>
        <v>0</v>
      </c>
      <c r="GW72">
        <v>1</v>
      </c>
      <c r="GX72">
        <f t="shared" si="102"/>
        <v>0</v>
      </c>
      <c r="HA72">
        <v>0</v>
      </c>
      <c r="HB72">
        <v>0</v>
      </c>
      <c r="HC72">
        <f t="shared" si="103"/>
        <v>0</v>
      </c>
      <c r="IK72">
        <v>0</v>
      </c>
    </row>
    <row r="73" spans="1:245" x14ac:dyDescent="0.2">
      <c r="A73">
        <v>17</v>
      </c>
      <c r="B73">
        <v>1</v>
      </c>
      <c r="E73" t="s">
        <v>30</v>
      </c>
      <c r="F73" t="s">
        <v>141</v>
      </c>
      <c r="G73" t="s">
        <v>142</v>
      </c>
      <c r="H73" t="s">
        <v>128</v>
      </c>
      <c r="I73">
        <f>ROUND(217/100,9)</f>
        <v>2.17</v>
      </c>
      <c r="J73">
        <v>0</v>
      </c>
      <c r="O73">
        <f t="shared" si="67"/>
        <v>22532.97</v>
      </c>
      <c r="P73">
        <f t="shared" si="68"/>
        <v>304.17</v>
      </c>
      <c r="Q73">
        <f t="shared" si="69"/>
        <v>8871.23</v>
      </c>
      <c r="R73">
        <f t="shared" si="70"/>
        <v>5918.13</v>
      </c>
      <c r="S73">
        <f t="shared" si="71"/>
        <v>13357.57</v>
      </c>
      <c r="T73">
        <f t="shared" si="72"/>
        <v>0</v>
      </c>
      <c r="U73">
        <f t="shared" si="73"/>
        <v>52.235198399999987</v>
      </c>
      <c r="V73">
        <f t="shared" si="74"/>
        <v>0</v>
      </c>
      <c r="W73">
        <f t="shared" si="75"/>
        <v>0</v>
      </c>
      <c r="X73">
        <f t="shared" si="76"/>
        <v>12021.81</v>
      </c>
      <c r="Y73">
        <f t="shared" si="77"/>
        <v>5743.76</v>
      </c>
      <c r="AA73">
        <v>35678934</v>
      </c>
      <c r="AB73">
        <f t="shared" si="78"/>
        <v>1025.538</v>
      </c>
      <c r="AC73">
        <f t="shared" si="79"/>
        <v>25.83</v>
      </c>
      <c r="AD73">
        <f>ROUND(((ET73*1.2)),6)</f>
        <v>721.548</v>
      </c>
      <c r="AE73">
        <f>ROUND(((EU73*1.2)),6)</f>
        <v>123.24</v>
      </c>
      <c r="AF73">
        <f>ROUND(((EV73*1.2)),6)</f>
        <v>278.16000000000003</v>
      </c>
      <c r="AG73">
        <f t="shared" si="81"/>
        <v>0</v>
      </c>
      <c r="AH73">
        <f>((EW73*1.2))</f>
        <v>22.56</v>
      </c>
      <c r="AI73">
        <f>((EX73*1.2))</f>
        <v>0</v>
      </c>
      <c r="AJ73">
        <f t="shared" si="83"/>
        <v>0</v>
      </c>
      <c r="AK73">
        <v>858.92</v>
      </c>
      <c r="AL73">
        <v>25.83</v>
      </c>
      <c r="AM73">
        <v>601.29</v>
      </c>
      <c r="AN73">
        <v>102.7</v>
      </c>
      <c r="AO73">
        <v>231.8</v>
      </c>
      <c r="AP73">
        <v>0</v>
      </c>
      <c r="AQ73">
        <v>18.8</v>
      </c>
      <c r="AR73">
        <v>0</v>
      </c>
      <c r="AS73">
        <v>0</v>
      </c>
      <c r="AT73">
        <v>90</v>
      </c>
      <c r="AU73">
        <v>43</v>
      </c>
      <c r="AV73">
        <v>1.0669999999999999</v>
      </c>
      <c r="AW73">
        <v>1.081</v>
      </c>
      <c r="AZ73">
        <v>1</v>
      </c>
      <c r="BA73">
        <v>20.74</v>
      </c>
      <c r="BB73">
        <v>5.31</v>
      </c>
      <c r="BC73">
        <v>5.0199999999999996</v>
      </c>
      <c r="BD73" t="s">
        <v>3</v>
      </c>
      <c r="BE73" t="s">
        <v>3</v>
      </c>
      <c r="BF73" t="s">
        <v>3</v>
      </c>
      <c r="BG73" t="s">
        <v>3</v>
      </c>
      <c r="BH73">
        <v>0</v>
      </c>
      <c r="BI73">
        <v>2</v>
      </c>
      <c r="BJ73" t="s">
        <v>143</v>
      </c>
      <c r="BM73">
        <v>318</v>
      </c>
      <c r="BN73">
        <v>0</v>
      </c>
      <c r="BO73" t="s">
        <v>141</v>
      </c>
      <c r="BP73">
        <v>1</v>
      </c>
      <c r="BQ73">
        <v>40</v>
      </c>
      <c r="BR73">
        <v>0</v>
      </c>
      <c r="BS73">
        <v>20.74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90</v>
      </c>
      <c r="CA73">
        <v>43</v>
      </c>
      <c r="CE73">
        <v>0</v>
      </c>
      <c r="CF73">
        <v>0</v>
      </c>
      <c r="CG73">
        <v>0</v>
      </c>
      <c r="CM73">
        <v>0</v>
      </c>
      <c r="CN73" t="s">
        <v>208</v>
      </c>
      <c r="CO73">
        <v>0</v>
      </c>
      <c r="CP73">
        <f t="shared" si="84"/>
        <v>22532.97</v>
      </c>
      <c r="CQ73">
        <f t="shared" si="85"/>
        <v>140.16959459999998</v>
      </c>
      <c r="CR73">
        <f t="shared" si="86"/>
        <v>4088.1250119599999</v>
      </c>
      <c r="CS73">
        <f t="shared" si="87"/>
        <v>2727.2494391999994</v>
      </c>
      <c r="CT73">
        <f t="shared" si="88"/>
        <v>6155.5639727999996</v>
      </c>
      <c r="CU73">
        <f t="shared" si="89"/>
        <v>0</v>
      </c>
      <c r="CV73">
        <f t="shared" si="90"/>
        <v>24.071519999999996</v>
      </c>
      <c r="CW73">
        <f t="shared" si="91"/>
        <v>0</v>
      </c>
      <c r="CX73">
        <f t="shared" si="92"/>
        <v>0</v>
      </c>
      <c r="CY73">
        <f t="shared" si="93"/>
        <v>12021.813</v>
      </c>
      <c r="CZ73">
        <f t="shared" si="94"/>
        <v>5743.7550999999994</v>
      </c>
      <c r="DC73" t="s">
        <v>3</v>
      </c>
      <c r="DD73" t="s">
        <v>3</v>
      </c>
      <c r="DE73" t="s">
        <v>144</v>
      </c>
      <c r="DF73" t="s">
        <v>144</v>
      </c>
      <c r="DG73" t="s">
        <v>144</v>
      </c>
      <c r="DH73" t="s">
        <v>3</v>
      </c>
      <c r="DI73" t="s">
        <v>144</v>
      </c>
      <c r="DJ73" t="s">
        <v>144</v>
      </c>
      <c r="DK73" t="s">
        <v>3</v>
      </c>
      <c r="DL73" t="s">
        <v>3</v>
      </c>
      <c r="DM73" t="s">
        <v>3</v>
      </c>
      <c r="DN73">
        <v>112</v>
      </c>
      <c r="DO73">
        <v>70</v>
      </c>
      <c r="DP73">
        <v>1.0669999999999999</v>
      </c>
      <c r="DQ73">
        <v>1.081</v>
      </c>
      <c r="DU73">
        <v>1003</v>
      </c>
      <c r="DV73" t="s">
        <v>128</v>
      </c>
      <c r="DW73" t="s">
        <v>128</v>
      </c>
      <c r="DX73">
        <v>100</v>
      </c>
      <c r="EE73">
        <v>35104181</v>
      </c>
      <c r="EF73">
        <v>40</v>
      </c>
      <c r="EG73" t="s">
        <v>130</v>
      </c>
      <c r="EH73">
        <v>0</v>
      </c>
      <c r="EI73" t="s">
        <v>3</v>
      </c>
      <c r="EJ73">
        <v>2</v>
      </c>
      <c r="EK73">
        <v>318</v>
      </c>
      <c r="EL73" t="s">
        <v>131</v>
      </c>
      <c r="EM73" t="s">
        <v>132</v>
      </c>
      <c r="EO73" t="s">
        <v>133</v>
      </c>
      <c r="EQ73">
        <v>0</v>
      </c>
      <c r="ER73">
        <v>858.92</v>
      </c>
      <c r="ES73">
        <v>25.83</v>
      </c>
      <c r="ET73">
        <v>601.29</v>
      </c>
      <c r="EU73">
        <v>102.7</v>
      </c>
      <c r="EV73">
        <v>231.8</v>
      </c>
      <c r="EW73">
        <v>18.8</v>
      </c>
      <c r="EX73">
        <v>0</v>
      </c>
      <c r="EY73">
        <v>0</v>
      </c>
      <c r="FQ73">
        <v>0</v>
      </c>
      <c r="FR73">
        <f t="shared" si="95"/>
        <v>0</v>
      </c>
      <c r="FS73">
        <v>0</v>
      </c>
      <c r="FX73">
        <v>112</v>
      </c>
      <c r="FY73">
        <v>70</v>
      </c>
      <c r="GA73" t="s">
        <v>3</v>
      </c>
      <c r="GD73">
        <v>0</v>
      </c>
      <c r="GF73">
        <v>1691868652</v>
      </c>
      <c r="GG73">
        <v>2</v>
      </c>
      <c r="GH73">
        <v>1</v>
      </c>
      <c r="GI73">
        <v>2</v>
      </c>
      <c r="GJ73">
        <v>0</v>
      </c>
      <c r="GK73">
        <f>ROUND(R73*(R12)/100,2)</f>
        <v>9291.4599999999991</v>
      </c>
      <c r="GL73">
        <f t="shared" si="96"/>
        <v>0</v>
      </c>
      <c r="GM73">
        <f t="shared" si="97"/>
        <v>49590</v>
      </c>
      <c r="GN73">
        <f t="shared" si="98"/>
        <v>0</v>
      </c>
      <c r="GO73">
        <f t="shared" si="99"/>
        <v>49590</v>
      </c>
      <c r="GP73">
        <f t="shared" si="100"/>
        <v>0</v>
      </c>
      <c r="GR73">
        <v>0</v>
      </c>
      <c r="GS73">
        <v>3</v>
      </c>
      <c r="GT73">
        <v>0</v>
      </c>
      <c r="GU73" t="s">
        <v>3</v>
      </c>
      <c r="GV73">
        <f t="shared" si="101"/>
        <v>0</v>
      </c>
      <c r="GW73">
        <v>1</v>
      </c>
      <c r="GX73">
        <f t="shared" si="102"/>
        <v>0</v>
      </c>
      <c r="HA73">
        <v>0</v>
      </c>
      <c r="HB73">
        <v>0</v>
      </c>
      <c r="HC73">
        <f t="shared" si="103"/>
        <v>0</v>
      </c>
      <c r="IK73">
        <v>0</v>
      </c>
    </row>
    <row r="74" spans="1:245" x14ac:dyDescent="0.2">
      <c r="A74">
        <v>17</v>
      </c>
      <c r="B74">
        <v>1</v>
      </c>
      <c r="E74" t="s">
        <v>38</v>
      </c>
      <c r="F74" t="s">
        <v>145</v>
      </c>
      <c r="G74" t="s">
        <v>146</v>
      </c>
      <c r="H74" t="s">
        <v>147</v>
      </c>
      <c r="I74">
        <f>ROUND(417*1.02/1000,9)</f>
        <v>0.42534</v>
      </c>
      <c r="J74">
        <v>0</v>
      </c>
      <c r="O74">
        <f t="shared" si="67"/>
        <v>291429.78000000003</v>
      </c>
      <c r="P74">
        <f t="shared" si="68"/>
        <v>291429.78000000003</v>
      </c>
      <c r="Q74">
        <f t="shared" si="69"/>
        <v>0</v>
      </c>
      <c r="R74">
        <f t="shared" si="70"/>
        <v>0</v>
      </c>
      <c r="S74">
        <f t="shared" si="71"/>
        <v>0</v>
      </c>
      <c r="T74">
        <f t="shared" si="72"/>
        <v>0</v>
      </c>
      <c r="U74">
        <f t="shared" si="73"/>
        <v>0</v>
      </c>
      <c r="V74">
        <f t="shared" si="74"/>
        <v>0</v>
      </c>
      <c r="W74">
        <f t="shared" si="75"/>
        <v>0</v>
      </c>
      <c r="X74">
        <f t="shared" si="76"/>
        <v>0</v>
      </c>
      <c r="Y74">
        <f t="shared" si="77"/>
        <v>0</v>
      </c>
      <c r="AA74">
        <v>35678934</v>
      </c>
      <c r="AB74">
        <f t="shared" si="78"/>
        <v>387101.13</v>
      </c>
      <c r="AC74">
        <f t="shared" si="79"/>
        <v>387101.13</v>
      </c>
      <c r="AD74">
        <f>ROUND((ET74),6)</f>
        <v>0</v>
      </c>
      <c r="AE74">
        <f>ROUND((EU74),6)</f>
        <v>0</v>
      </c>
      <c r="AF74">
        <f>ROUND((EV74),6)</f>
        <v>0</v>
      </c>
      <c r="AG74">
        <f t="shared" si="81"/>
        <v>0</v>
      </c>
      <c r="AH74">
        <f>(EW74)</f>
        <v>0</v>
      </c>
      <c r="AI74">
        <f>(EX74)</f>
        <v>0</v>
      </c>
      <c r="AJ74">
        <f t="shared" si="83"/>
        <v>0</v>
      </c>
      <c r="AK74">
        <v>387101.13</v>
      </c>
      <c r="AL74">
        <v>387101.13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1</v>
      </c>
      <c r="AW74">
        <v>1</v>
      </c>
      <c r="AZ74">
        <v>1</v>
      </c>
      <c r="BA74">
        <v>1</v>
      </c>
      <c r="BB74">
        <v>1</v>
      </c>
      <c r="BC74">
        <v>1.77</v>
      </c>
      <c r="BD74" t="s">
        <v>3</v>
      </c>
      <c r="BE74" t="s">
        <v>3</v>
      </c>
      <c r="BF74" t="s">
        <v>3</v>
      </c>
      <c r="BG74" t="s">
        <v>3</v>
      </c>
      <c r="BH74">
        <v>3</v>
      </c>
      <c r="BI74">
        <v>2</v>
      </c>
      <c r="BJ74" t="s">
        <v>148</v>
      </c>
      <c r="BM74">
        <v>1618</v>
      </c>
      <c r="BN74">
        <v>0</v>
      </c>
      <c r="BO74" t="s">
        <v>145</v>
      </c>
      <c r="BP74">
        <v>1</v>
      </c>
      <c r="BQ74">
        <v>201</v>
      </c>
      <c r="BR74">
        <v>0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0</v>
      </c>
      <c r="CA74">
        <v>0</v>
      </c>
      <c r="CE74">
        <v>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 t="shared" si="84"/>
        <v>291429.78000000003</v>
      </c>
      <c r="CQ74">
        <f t="shared" si="85"/>
        <v>685169.00010000006</v>
      </c>
      <c r="CR74">
        <f t="shared" si="86"/>
        <v>0</v>
      </c>
      <c r="CS74">
        <f t="shared" si="87"/>
        <v>0</v>
      </c>
      <c r="CT74">
        <f t="shared" si="88"/>
        <v>0</v>
      </c>
      <c r="CU74">
        <f t="shared" si="89"/>
        <v>0</v>
      </c>
      <c r="CV74">
        <f t="shared" si="90"/>
        <v>0</v>
      </c>
      <c r="CW74">
        <f t="shared" si="91"/>
        <v>0</v>
      </c>
      <c r="CX74">
        <f t="shared" si="92"/>
        <v>0</v>
      </c>
      <c r="CY74">
        <f t="shared" si="93"/>
        <v>0</v>
      </c>
      <c r="CZ74">
        <f t="shared" si="94"/>
        <v>0</v>
      </c>
      <c r="DC74" t="s">
        <v>3</v>
      </c>
      <c r="DD74" t="s">
        <v>3</v>
      </c>
      <c r="DE74" t="s">
        <v>3</v>
      </c>
      <c r="DF74" t="s">
        <v>3</v>
      </c>
      <c r="DG74" t="s">
        <v>3</v>
      </c>
      <c r="DH74" t="s">
        <v>3</v>
      </c>
      <c r="DI74" t="s">
        <v>3</v>
      </c>
      <c r="DJ74" t="s">
        <v>3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1003</v>
      </c>
      <c r="DV74" t="s">
        <v>147</v>
      </c>
      <c r="DW74" t="s">
        <v>147</v>
      </c>
      <c r="DX74">
        <v>1000</v>
      </c>
      <c r="EE74">
        <v>35105481</v>
      </c>
      <c r="EF74">
        <v>201</v>
      </c>
      <c r="EG74" t="s">
        <v>149</v>
      </c>
      <c r="EH74">
        <v>0</v>
      </c>
      <c r="EI74" t="s">
        <v>3</v>
      </c>
      <c r="EJ74">
        <v>2</v>
      </c>
      <c r="EK74">
        <v>1618</v>
      </c>
      <c r="EL74" t="s">
        <v>150</v>
      </c>
      <c r="EM74" t="s">
        <v>151</v>
      </c>
      <c r="EO74" t="s">
        <v>3</v>
      </c>
      <c r="EQ74">
        <v>0</v>
      </c>
      <c r="ER74">
        <v>387101.13</v>
      </c>
      <c r="ES74">
        <v>387101.13</v>
      </c>
      <c r="ET74">
        <v>0</v>
      </c>
      <c r="EU74">
        <v>0</v>
      </c>
      <c r="EV74">
        <v>0</v>
      </c>
      <c r="EW74">
        <v>0</v>
      </c>
      <c r="EX74">
        <v>0</v>
      </c>
      <c r="EY74">
        <v>0</v>
      </c>
      <c r="FQ74">
        <v>0</v>
      </c>
      <c r="FR74">
        <f t="shared" si="95"/>
        <v>0</v>
      </c>
      <c r="FS74">
        <v>0</v>
      </c>
      <c r="FX74">
        <v>0</v>
      </c>
      <c r="FY74">
        <v>0</v>
      </c>
      <c r="GA74" t="s">
        <v>3</v>
      </c>
      <c r="GD74">
        <v>0</v>
      </c>
      <c r="GF74">
        <v>1642472741</v>
      </c>
      <c r="GG74">
        <v>2</v>
      </c>
      <c r="GH74">
        <v>1</v>
      </c>
      <c r="GI74">
        <v>2</v>
      </c>
      <c r="GJ74">
        <v>0</v>
      </c>
      <c r="GK74">
        <f>ROUND(R74*(R12)/100,2)</f>
        <v>0</v>
      </c>
      <c r="GL74">
        <f t="shared" si="96"/>
        <v>0</v>
      </c>
      <c r="GM74">
        <f t="shared" si="97"/>
        <v>291429.78000000003</v>
      </c>
      <c r="GN74">
        <f t="shared" si="98"/>
        <v>0</v>
      </c>
      <c r="GO74">
        <f t="shared" si="99"/>
        <v>291429.78000000003</v>
      </c>
      <c r="GP74">
        <f t="shared" si="100"/>
        <v>0</v>
      </c>
      <c r="GR74">
        <v>0</v>
      </c>
      <c r="GS74">
        <v>3</v>
      </c>
      <c r="GT74">
        <v>0</v>
      </c>
      <c r="GU74" t="s">
        <v>3</v>
      </c>
      <c r="GV74">
        <f t="shared" si="101"/>
        <v>0</v>
      </c>
      <c r="GW74">
        <v>1</v>
      </c>
      <c r="GX74">
        <f t="shared" si="102"/>
        <v>0</v>
      </c>
      <c r="HA74">
        <v>0</v>
      </c>
      <c r="HB74">
        <v>0</v>
      </c>
      <c r="HC74">
        <f t="shared" si="103"/>
        <v>0</v>
      </c>
      <c r="IK74">
        <v>0</v>
      </c>
    </row>
    <row r="75" spans="1:245" x14ac:dyDescent="0.2">
      <c r="A75">
        <v>17</v>
      </c>
      <c r="B75">
        <v>1</v>
      </c>
      <c r="E75" t="s">
        <v>152</v>
      </c>
      <c r="F75" t="s">
        <v>153</v>
      </c>
      <c r="G75" t="s">
        <v>154</v>
      </c>
      <c r="H75" t="s">
        <v>155</v>
      </c>
      <c r="I75">
        <v>4</v>
      </c>
      <c r="J75">
        <v>0</v>
      </c>
      <c r="O75">
        <f t="shared" si="67"/>
        <v>89778.63</v>
      </c>
      <c r="P75">
        <f t="shared" si="68"/>
        <v>54.82</v>
      </c>
      <c r="Q75">
        <f t="shared" si="69"/>
        <v>76042.12</v>
      </c>
      <c r="R75">
        <f t="shared" si="70"/>
        <v>41161.21</v>
      </c>
      <c r="S75">
        <f t="shared" si="71"/>
        <v>13681.69</v>
      </c>
      <c r="T75">
        <f t="shared" si="72"/>
        <v>0</v>
      </c>
      <c r="U75">
        <f t="shared" si="73"/>
        <v>53.50213999999999</v>
      </c>
      <c r="V75">
        <f t="shared" si="74"/>
        <v>0</v>
      </c>
      <c r="W75">
        <f t="shared" si="75"/>
        <v>0</v>
      </c>
      <c r="X75">
        <f t="shared" si="76"/>
        <v>12313.52</v>
      </c>
      <c r="Y75">
        <f t="shared" si="77"/>
        <v>5883.13</v>
      </c>
      <c r="AA75">
        <v>35678934</v>
      </c>
      <c r="AB75">
        <f t="shared" si="78"/>
        <v>2271.7604999999999</v>
      </c>
      <c r="AC75">
        <f t="shared" si="79"/>
        <v>2.73</v>
      </c>
      <c r="AD75">
        <f>ROUND(((ET75*1.15)),6)</f>
        <v>2117.3110000000001</v>
      </c>
      <c r="AE75">
        <f>ROUND(((EU75*1.15)),6)</f>
        <v>456.44650000000001</v>
      </c>
      <c r="AF75">
        <f>ROUND(((EV75*1.15)),6)</f>
        <v>151.71950000000001</v>
      </c>
      <c r="AG75">
        <f t="shared" si="81"/>
        <v>0</v>
      </c>
      <c r="AH75">
        <f>((EW75*1.15))</f>
        <v>12.304999999999998</v>
      </c>
      <c r="AI75">
        <f>((EX75*1.15))</f>
        <v>0</v>
      </c>
      <c r="AJ75">
        <f t="shared" si="83"/>
        <v>0</v>
      </c>
      <c r="AK75">
        <v>1975.8</v>
      </c>
      <c r="AL75">
        <v>2.73</v>
      </c>
      <c r="AM75">
        <v>1841.14</v>
      </c>
      <c r="AN75">
        <v>396.91</v>
      </c>
      <c r="AO75">
        <v>131.93</v>
      </c>
      <c r="AP75">
        <v>0</v>
      </c>
      <c r="AQ75">
        <v>10.7</v>
      </c>
      <c r="AR75">
        <v>0</v>
      </c>
      <c r="AS75">
        <v>0</v>
      </c>
      <c r="AT75">
        <v>90</v>
      </c>
      <c r="AU75">
        <v>43</v>
      </c>
      <c r="AV75">
        <v>1.087</v>
      </c>
      <c r="AW75">
        <v>1</v>
      </c>
      <c r="AZ75">
        <v>1</v>
      </c>
      <c r="BA75">
        <v>20.74</v>
      </c>
      <c r="BB75">
        <v>8.26</v>
      </c>
      <c r="BC75">
        <v>5.0199999999999996</v>
      </c>
      <c r="BD75" t="s">
        <v>3</v>
      </c>
      <c r="BE75" t="s">
        <v>3</v>
      </c>
      <c r="BF75" t="s">
        <v>3</v>
      </c>
      <c r="BG75" t="s">
        <v>3</v>
      </c>
      <c r="BH75">
        <v>0</v>
      </c>
      <c r="BI75">
        <v>2</v>
      </c>
      <c r="BJ75" t="s">
        <v>156</v>
      </c>
      <c r="BM75">
        <v>321</v>
      </c>
      <c r="BN75">
        <v>0</v>
      </c>
      <c r="BO75" t="s">
        <v>153</v>
      </c>
      <c r="BP75">
        <v>1</v>
      </c>
      <c r="BQ75">
        <v>40</v>
      </c>
      <c r="BR75">
        <v>0</v>
      </c>
      <c r="BS75">
        <v>20.74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90</v>
      </c>
      <c r="CA75">
        <v>43</v>
      </c>
      <c r="CE75">
        <v>0</v>
      </c>
      <c r="CF75">
        <v>0</v>
      </c>
      <c r="CG75">
        <v>0</v>
      </c>
      <c r="CM75">
        <v>0</v>
      </c>
      <c r="CN75" t="s">
        <v>208</v>
      </c>
      <c r="CO75">
        <v>0</v>
      </c>
      <c r="CP75">
        <f t="shared" si="84"/>
        <v>89778.63</v>
      </c>
      <c r="CQ75">
        <f t="shared" si="85"/>
        <v>13.704599999999999</v>
      </c>
      <c r="CR75">
        <f t="shared" si="86"/>
        <v>19010.530890820002</v>
      </c>
      <c r="CS75">
        <f t="shared" si="87"/>
        <v>10290.30334567</v>
      </c>
      <c r="CT75">
        <f t="shared" si="88"/>
        <v>3420.4220614099995</v>
      </c>
      <c r="CU75">
        <f t="shared" si="89"/>
        <v>0</v>
      </c>
      <c r="CV75">
        <f t="shared" si="90"/>
        <v>13.375534999999998</v>
      </c>
      <c r="CW75">
        <f t="shared" si="91"/>
        <v>0</v>
      </c>
      <c r="CX75">
        <f t="shared" si="92"/>
        <v>0</v>
      </c>
      <c r="CY75">
        <f t="shared" si="93"/>
        <v>12313.521000000001</v>
      </c>
      <c r="CZ75">
        <f t="shared" si="94"/>
        <v>5883.1266999999998</v>
      </c>
      <c r="DC75" t="s">
        <v>3</v>
      </c>
      <c r="DD75" t="s">
        <v>3</v>
      </c>
      <c r="DE75" t="s">
        <v>21</v>
      </c>
      <c r="DF75" t="s">
        <v>21</v>
      </c>
      <c r="DG75" t="s">
        <v>21</v>
      </c>
      <c r="DH75" t="s">
        <v>3</v>
      </c>
      <c r="DI75" t="s">
        <v>21</v>
      </c>
      <c r="DJ75" t="s">
        <v>21</v>
      </c>
      <c r="DK75" t="s">
        <v>3</v>
      </c>
      <c r="DL75" t="s">
        <v>3</v>
      </c>
      <c r="DM75" t="s">
        <v>3</v>
      </c>
      <c r="DN75">
        <v>112</v>
      </c>
      <c r="DO75">
        <v>70</v>
      </c>
      <c r="DP75">
        <v>1.087</v>
      </c>
      <c r="DQ75">
        <v>1</v>
      </c>
      <c r="DU75">
        <v>1010</v>
      </c>
      <c r="DV75" t="s">
        <v>155</v>
      </c>
      <c r="DW75" t="s">
        <v>155</v>
      </c>
      <c r="DX75">
        <v>1</v>
      </c>
      <c r="EE75">
        <v>35104184</v>
      </c>
      <c r="EF75">
        <v>40</v>
      </c>
      <c r="EG75" t="s">
        <v>130</v>
      </c>
      <c r="EH75">
        <v>0</v>
      </c>
      <c r="EI75" t="s">
        <v>3</v>
      </c>
      <c r="EJ75">
        <v>2</v>
      </c>
      <c r="EK75">
        <v>321</v>
      </c>
      <c r="EL75" t="s">
        <v>157</v>
      </c>
      <c r="EM75" t="s">
        <v>158</v>
      </c>
      <c r="EO75" t="s">
        <v>159</v>
      </c>
      <c r="EQ75">
        <v>0</v>
      </c>
      <c r="ER75">
        <v>1975.8</v>
      </c>
      <c r="ES75">
        <v>2.73</v>
      </c>
      <c r="ET75">
        <v>1841.14</v>
      </c>
      <c r="EU75">
        <v>396.91</v>
      </c>
      <c r="EV75">
        <v>131.93</v>
      </c>
      <c r="EW75">
        <v>10.7</v>
      </c>
      <c r="EX75">
        <v>0</v>
      </c>
      <c r="EY75">
        <v>0</v>
      </c>
      <c r="FQ75">
        <v>0</v>
      </c>
      <c r="FR75">
        <f t="shared" si="95"/>
        <v>0</v>
      </c>
      <c r="FS75">
        <v>0</v>
      </c>
      <c r="FX75">
        <v>112</v>
      </c>
      <c r="FY75">
        <v>70</v>
      </c>
      <c r="GA75" t="s">
        <v>3</v>
      </c>
      <c r="GD75">
        <v>0</v>
      </c>
      <c r="GF75">
        <v>-1870692300</v>
      </c>
      <c r="GG75">
        <v>2</v>
      </c>
      <c r="GH75">
        <v>1</v>
      </c>
      <c r="GI75">
        <v>2</v>
      </c>
      <c r="GJ75">
        <v>0</v>
      </c>
      <c r="GK75">
        <f>ROUND(R75*(R12)/100,2)</f>
        <v>64623.1</v>
      </c>
      <c r="GL75">
        <f t="shared" si="96"/>
        <v>0</v>
      </c>
      <c r="GM75">
        <f t="shared" si="97"/>
        <v>172598.38</v>
      </c>
      <c r="GN75">
        <f t="shared" si="98"/>
        <v>0</v>
      </c>
      <c r="GO75">
        <f t="shared" si="99"/>
        <v>172598.38</v>
      </c>
      <c r="GP75">
        <f t="shared" si="100"/>
        <v>0</v>
      </c>
      <c r="GR75">
        <v>0</v>
      </c>
      <c r="GS75">
        <v>3</v>
      </c>
      <c r="GT75">
        <v>0</v>
      </c>
      <c r="GU75" t="s">
        <v>3</v>
      </c>
      <c r="GV75">
        <f t="shared" si="101"/>
        <v>0</v>
      </c>
      <c r="GW75">
        <v>1</v>
      </c>
      <c r="GX75">
        <f t="shared" si="102"/>
        <v>0</v>
      </c>
      <c r="HA75">
        <v>0</v>
      </c>
      <c r="HB75">
        <v>0</v>
      </c>
      <c r="HC75">
        <f t="shared" si="103"/>
        <v>0</v>
      </c>
      <c r="IK75">
        <v>0</v>
      </c>
    </row>
    <row r="76" spans="1:245" x14ac:dyDescent="0.2">
      <c r="A76">
        <v>17</v>
      </c>
      <c r="B76">
        <v>1</v>
      </c>
      <c r="E76" t="s">
        <v>48</v>
      </c>
      <c r="F76" t="s">
        <v>160</v>
      </c>
      <c r="G76" t="s">
        <v>161</v>
      </c>
      <c r="H76" t="s">
        <v>162</v>
      </c>
      <c r="I76">
        <v>4</v>
      </c>
      <c r="J76">
        <v>0</v>
      </c>
      <c r="O76">
        <f t="shared" si="67"/>
        <v>9214.0300000000007</v>
      </c>
      <c r="P76">
        <f t="shared" si="68"/>
        <v>9214.0300000000007</v>
      </c>
      <c r="Q76">
        <f t="shared" si="69"/>
        <v>0</v>
      </c>
      <c r="R76">
        <f t="shared" si="70"/>
        <v>0</v>
      </c>
      <c r="S76">
        <f t="shared" si="71"/>
        <v>0</v>
      </c>
      <c r="T76">
        <f t="shared" si="72"/>
        <v>0</v>
      </c>
      <c r="U76">
        <f t="shared" si="73"/>
        <v>0</v>
      </c>
      <c r="V76">
        <f t="shared" si="74"/>
        <v>0</v>
      </c>
      <c r="W76">
        <f t="shared" si="75"/>
        <v>0</v>
      </c>
      <c r="X76">
        <f t="shared" si="76"/>
        <v>0</v>
      </c>
      <c r="Y76">
        <f t="shared" si="77"/>
        <v>0</v>
      </c>
      <c r="AA76">
        <v>35678934</v>
      </c>
      <c r="AB76">
        <f t="shared" si="78"/>
        <v>813.96</v>
      </c>
      <c r="AC76">
        <f t="shared" si="79"/>
        <v>813.96</v>
      </c>
      <c r="AD76">
        <f>ROUND((ET76),6)</f>
        <v>0</v>
      </c>
      <c r="AE76">
        <f>ROUND((EU76),6)</f>
        <v>0</v>
      </c>
      <c r="AF76">
        <f>ROUND((EV76),6)</f>
        <v>0</v>
      </c>
      <c r="AG76">
        <f t="shared" si="81"/>
        <v>0</v>
      </c>
      <c r="AH76">
        <f>(EW76)</f>
        <v>0</v>
      </c>
      <c r="AI76">
        <f>(EX76)</f>
        <v>0</v>
      </c>
      <c r="AJ76">
        <f t="shared" si="83"/>
        <v>0</v>
      </c>
      <c r="AK76">
        <v>813.96</v>
      </c>
      <c r="AL76">
        <v>813.96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1</v>
      </c>
      <c r="AW76">
        <v>1</v>
      </c>
      <c r="AZ76">
        <v>1</v>
      </c>
      <c r="BA76">
        <v>1</v>
      </c>
      <c r="BB76">
        <v>1</v>
      </c>
      <c r="BC76">
        <v>2.83</v>
      </c>
      <c r="BD76" t="s">
        <v>3</v>
      </c>
      <c r="BE76" t="s">
        <v>3</v>
      </c>
      <c r="BF76" t="s">
        <v>3</v>
      </c>
      <c r="BG76" t="s">
        <v>3</v>
      </c>
      <c r="BH76">
        <v>3</v>
      </c>
      <c r="BI76">
        <v>2</v>
      </c>
      <c r="BJ76" t="s">
        <v>163</v>
      </c>
      <c r="BM76">
        <v>1618</v>
      </c>
      <c r="BN76">
        <v>0</v>
      </c>
      <c r="BO76" t="s">
        <v>160</v>
      </c>
      <c r="BP76">
        <v>1</v>
      </c>
      <c r="BQ76">
        <v>201</v>
      </c>
      <c r="BR76">
        <v>0</v>
      </c>
      <c r="BS76">
        <v>1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</v>
      </c>
      <c r="BZ76">
        <v>0</v>
      </c>
      <c r="CA76">
        <v>0</v>
      </c>
      <c r="CE76">
        <v>0</v>
      </c>
      <c r="CF76">
        <v>0</v>
      </c>
      <c r="CG76">
        <v>0</v>
      </c>
      <c r="CM76">
        <v>0</v>
      </c>
      <c r="CN76" t="s">
        <v>3</v>
      </c>
      <c r="CO76">
        <v>0</v>
      </c>
      <c r="CP76">
        <f t="shared" si="84"/>
        <v>9214.0300000000007</v>
      </c>
      <c r="CQ76">
        <f t="shared" si="85"/>
        <v>2303.5068000000001</v>
      </c>
      <c r="CR76">
        <f t="shared" si="86"/>
        <v>0</v>
      </c>
      <c r="CS76">
        <f t="shared" si="87"/>
        <v>0</v>
      </c>
      <c r="CT76">
        <f t="shared" si="88"/>
        <v>0</v>
      </c>
      <c r="CU76">
        <f t="shared" si="89"/>
        <v>0</v>
      </c>
      <c r="CV76">
        <f t="shared" si="90"/>
        <v>0</v>
      </c>
      <c r="CW76">
        <f t="shared" si="91"/>
        <v>0</v>
      </c>
      <c r="CX76">
        <f t="shared" si="92"/>
        <v>0</v>
      </c>
      <c r="CY76">
        <f t="shared" si="93"/>
        <v>0</v>
      </c>
      <c r="CZ76">
        <f t="shared" si="94"/>
        <v>0</v>
      </c>
      <c r="DC76" t="s">
        <v>3</v>
      </c>
      <c r="DD76" t="s">
        <v>3</v>
      </c>
      <c r="DE76" t="s">
        <v>3</v>
      </c>
      <c r="DF76" t="s">
        <v>3</v>
      </c>
      <c r="DG76" t="s">
        <v>3</v>
      </c>
      <c r="DH76" t="s">
        <v>3</v>
      </c>
      <c r="DI76" t="s">
        <v>3</v>
      </c>
      <c r="DJ76" t="s">
        <v>3</v>
      </c>
      <c r="DK76" t="s">
        <v>3</v>
      </c>
      <c r="DL76" t="s">
        <v>3</v>
      </c>
      <c r="DM76" t="s">
        <v>3</v>
      </c>
      <c r="DN76">
        <v>0</v>
      </c>
      <c r="DO76">
        <v>0</v>
      </c>
      <c r="DP76">
        <v>1</v>
      </c>
      <c r="DQ76">
        <v>1</v>
      </c>
      <c r="DU76">
        <v>1013</v>
      </c>
      <c r="DV76" t="s">
        <v>162</v>
      </c>
      <c r="DW76" t="s">
        <v>162</v>
      </c>
      <c r="DX76">
        <v>1</v>
      </c>
      <c r="EE76">
        <v>35105481</v>
      </c>
      <c r="EF76">
        <v>201</v>
      </c>
      <c r="EG76" t="s">
        <v>149</v>
      </c>
      <c r="EH76">
        <v>0</v>
      </c>
      <c r="EI76" t="s">
        <v>3</v>
      </c>
      <c r="EJ76">
        <v>2</v>
      </c>
      <c r="EK76">
        <v>1618</v>
      </c>
      <c r="EL76" t="s">
        <v>150</v>
      </c>
      <c r="EM76" t="s">
        <v>151</v>
      </c>
      <c r="EO76" t="s">
        <v>3</v>
      </c>
      <c r="EQ76">
        <v>0</v>
      </c>
      <c r="ER76">
        <v>813.96</v>
      </c>
      <c r="ES76">
        <v>813.96</v>
      </c>
      <c r="ET76">
        <v>0</v>
      </c>
      <c r="EU76">
        <v>0</v>
      </c>
      <c r="EV76">
        <v>0</v>
      </c>
      <c r="EW76">
        <v>0</v>
      </c>
      <c r="EX76">
        <v>0</v>
      </c>
      <c r="EY76">
        <v>0</v>
      </c>
      <c r="FQ76">
        <v>0</v>
      </c>
      <c r="FR76">
        <f t="shared" si="95"/>
        <v>0</v>
      </c>
      <c r="FS76">
        <v>0</v>
      </c>
      <c r="FX76">
        <v>0</v>
      </c>
      <c r="FY76">
        <v>0</v>
      </c>
      <c r="GA76" t="s">
        <v>3</v>
      </c>
      <c r="GD76">
        <v>0</v>
      </c>
      <c r="GF76">
        <v>360210185</v>
      </c>
      <c r="GG76">
        <v>2</v>
      </c>
      <c r="GH76">
        <v>1</v>
      </c>
      <c r="GI76">
        <v>2</v>
      </c>
      <c r="GJ76">
        <v>0</v>
      </c>
      <c r="GK76">
        <f>ROUND(R76*(R12)/100,2)</f>
        <v>0</v>
      </c>
      <c r="GL76">
        <f t="shared" si="96"/>
        <v>0</v>
      </c>
      <c r="GM76">
        <f t="shared" si="97"/>
        <v>9214.0300000000007</v>
      </c>
      <c r="GN76">
        <f t="shared" si="98"/>
        <v>0</v>
      </c>
      <c r="GO76">
        <f t="shared" si="99"/>
        <v>9214.0300000000007</v>
      </c>
      <c r="GP76">
        <f t="shared" si="100"/>
        <v>0</v>
      </c>
      <c r="GR76">
        <v>0</v>
      </c>
      <c r="GS76">
        <v>3</v>
      </c>
      <c r="GT76">
        <v>0</v>
      </c>
      <c r="GU76" t="s">
        <v>3</v>
      </c>
      <c r="GV76">
        <f t="shared" si="101"/>
        <v>0</v>
      </c>
      <c r="GW76">
        <v>1</v>
      </c>
      <c r="GX76">
        <f t="shared" si="102"/>
        <v>0</v>
      </c>
      <c r="HA76">
        <v>0</v>
      </c>
      <c r="HB76">
        <v>0</v>
      </c>
      <c r="HC76">
        <f t="shared" si="103"/>
        <v>0</v>
      </c>
      <c r="IK76">
        <v>0</v>
      </c>
    </row>
    <row r="77" spans="1:245" x14ac:dyDescent="0.2">
      <c r="A77">
        <v>17</v>
      </c>
      <c r="B77">
        <v>1</v>
      </c>
      <c r="C77">
        <f>ROW(SmtRes!A9)</f>
        <v>9</v>
      </c>
      <c r="D77">
        <f>ROW(EtalonRes!A9)</f>
        <v>9</v>
      </c>
      <c r="E77" t="s">
        <v>54</v>
      </c>
      <c r="F77" t="s">
        <v>164</v>
      </c>
      <c r="G77" t="s">
        <v>165</v>
      </c>
      <c r="H77" t="s">
        <v>128</v>
      </c>
      <c r="I77">
        <f>ROUND(217/100,9)</f>
        <v>2.17</v>
      </c>
      <c r="J77">
        <v>0</v>
      </c>
      <c r="O77">
        <f t="shared" si="67"/>
        <v>2261.71</v>
      </c>
      <c r="P77">
        <f t="shared" si="68"/>
        <v>0</v>
      </c>
      <c r="Q77">
        <f t="shared" si="69"/>
        <v>114.03</v>
      </c>
      <c r="R77">
        <f t="shared" si="70"/>
        <v>67.930000000000007</v>
      </c>
      <c r="S77">
        <f t="shared" si="71"/>
        <v>2147.6799999999998</v>
      </c>
      <c r="T77">
        <f t="shared" si="72"/>
        <v>0</v>
      </c>
      <c r="U77">
        <f t="shared" si="73"/>
        <v>9.7987304799999997</v>
      </c>
      <c r="V77">
        <f t="shared" si="74"/>
        <v>0</v>
      </c>
      <c r="W77">
        <f t="shared" si="75"/>
        <v>0</v>
      </c>
      <c r="X77">
        <f t="shared" si="76"/>
        <v>1932.91</v>
      </c>
      <c r="Y77">
        <f t="shared" si="77"/>
        <v>923.5</v>
      </c>
      <c r="AA77">
        <v>35678934</v>
      </c>
      <c r="AB77">
        <f t="shared" si="78"/>
        <v>50.715000000000003</v>
      </c>
      <c r="AC77">
        <f t="shared" si="79"/>
        <v>0</v>
      </c>
      <c r="AD77">
        <f>ROUND(((ET77*1.15)),6)</f>
        <v>5.9915000000000003</v>
      </c>
      <c r="AE77">
        <f>ROUND(((EU77*1.15)),6)</f>
        <v>1.4145000000000001</v>
      </c>
      <c r="AF77">
        <f>ROUND(((EV77*1.15)),6)</f>
        <v>44.723500000000001</v>
      </c>
      <c r="AG77">
        <f t="shared" si="81"/>
        <v>0</v>
      </c>
      <c r="AH77">
        <f>((EW77*1.15))</f>
        <v>4.2320000000000002</v>
      </c>
      <c r="AI77">
        <f>((EX77*1.15))</f>
        <v>0</v>
      </c>
      <c r="AJ77">
        <f t="shared" si="83"/>
        <v>0</v>
      </c>
      <c r="AK77">
        <v>44.1</v>
      </c>
      <c r="AL77">
        <v>0</v>
      </c>
      <c r="AM77">
        <v>5.21</v>
      </c>
      <c r="AN77">
        <v>1.23</v>
      </c>
      <c r="AO77">
        <v>38.89</v>
      </c>
      <c r="AP77">
        <v>0</v>
      </c>
      <c r="AQ77">
        <v>3.68</v>
      </c>
      <c r="AR77">
        <v>0</v>
      </c>
      <c r="AS77">
        <v>0</v>
      </c>
      <c r="AT77">
        <v>90</v>
      </c>
      <c r="AU77">
        <v>43</v>
      </c>
      <c r="AV77">
        <v>1.0669999999999999</v>
      </c>
      <c r="AW77">
        <v>1.081</v>
      </c>
      <c r="AZ77">
        <v>1</v>
      </c>
      <c r="BA77">
        <v>20.74</v>
      </c>
      <c r="BB77">
        <v>8.2200000000000006</v>
      </c>
      <c r="BC77">
        <v>1</v>
      </c>
      <c r="BD77" t="s">
        <v>3</v>
      </c>
      <c r="BE77" t="s">
        <v>3</v>
      </c>
      <c r="BF77" t="s">
        <v>3</v>
      </c>
      <c r="BG77" t="s">
        <v>3</v>
      </c>
      <c r="BH77">
        <v>0</v>
      </c>
      <c r="BI77">
        <v>2</v>
      </c>
      <c r="BJ77" t="s">
        <v>166</v>
      </c>
      <c r="BM77">
        <v>1517</v>
      </c>
      <c r="BN77">
        <v>0</v>
      </c>
      <c r="BO77" t="s">
        <v>164</v>
      </c>
      <c r="BP77">
        <v>1</v>
      </c>
      <c r="BQ77">
        <v>40</v>
      </c>
      <c r="BR77">
        <v>0</v>
      </c>
      <c r="BS77">
        <v>20.74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90</v>
      </c>
      <c r="CA77">
        <v>43</v>
      </c>
      <c r="CE77">
        <v>0</v>
      </c>
      <c r="CF77">
        <v>0</v>
      </c>
      <c r="CG77">
        <v>0</v>
      </c>
      <c r="CM77">
        <v>0</v>
      </c>
      <c r="CN77" t="s">
        <v>3</v>
      </c>
      <c r="CO77">
        <v>0</v>
      </c>
      <c r="CP77">
        <f t="shared" si="84"/>
        <v>2261.71</v>
      </c>
      <c r="CQ77">
        <f t="shared" si="85"/>
        <v>0</v>
      </c>
      <c r="CR77">
        <f t="shared" si="86"/>
        <v>52.549888710000005</v>
      </c>
      <c r="CS77">
        <f t="shared" si="87"/>
        <v>31.302290909999996</v>
      </c>
      <c r="CT77">
        <f t="shared" si="88"/>
        <v>989.71227112999998</v>
      </c>
      <c r="CU77">
        <f t="shared" si="89"/>
        <v>0</v>
      </c>
      <c r="CV77">
        <f t="shared" si="90"/>
        <v>4.5155440000000002</v>
      </c>
      <c r="CW77">
        <f t="shared" si="91"/>
        <v>0</v>
      </c>
      <c r="CX77">
        <f t="shared" si="92"/>
        <v>0</v>
      </c>
      <c r="CY77">
        <f t="shared" si="93"/>
        <v>1932.9119999999998</v>
      </c>
      <c r="CZ77">
        <f t="shared" si="94"/>
        <v>923.50239999999997</v>
      </c>
      <c r="DC77" t="s">
        <v>3</v>
      </c>
      <c r="DD77" t="s">
        <v>3</v>
      </c>
      <c r="DE77" t="s">
        <v>21</v>
      </c>
      <c r="DF77" t="s">
        <v>21</v>
      </c>
      <c r="DG77" t="s">
        <v>21</v>
      </c>
      <c r="DH77" t="s">
        <v>3</v>
      </c>
      <c r="DI77" t="s">
        <v>21</v>
      </c>
      <c r="DJ77" t="s">
        <v>21</v>
      </c>
      <c r="DK77" t="s">
        <v>3</v>
      </c>
      <c r="DL77" t="s">
        <v>3</v>
      </c>
      <c r="DM77" t="s">
        <v>3</v>
      </c>
      <c r="DN77">
        <v>112</v>
      </c>
      <c r="DO77">
        <v>70</v>
      </c>
      <c r="DP77">
        <v>1.0669999999999999</v>
      </c>
      <c r="DQ77">
        <v>1.081</v>
      </c>
      <c r="DU77">
        <v>1003</v>
      </c>
      <c r="DV77" t="s">
        <v>128</v>
      </c>
      <c r="DW77" t="s">
        <v>128</v>
      </c>
      <c r="DX77">
        <v>100</v>
      </c>
      <c r="EE77">
        <v>35105380</v>
      </c>
      <c r="EF77">
        <v>40</v>
      </c>
      <c r="EG77" t="s">
        <v>130</v>
      </c>
      <c r="EH77">
        <v>0</v>
      </c>
      <c r="EI77" t="s">
        <v>3</v>
      </c>
      <c r="EJ77">
        <v>2</v>
      </c>
      <c r="EK77">
        <v>1517</v>
      </c>
      <c r="EL77" t="s">
        <v>167</v>
      </c>
      <c r="EM77" t="s">
        <v>168</v>
      </c>
      <c r="EO77" t="s">
        <v>3</v>
      </c>
      <c r="EQ77">
        <v>0</v>
      </c>
      <c r="ER77">
        <v>44.1</v>
      </c>
      <c r="ES77">
        <v>0</v>
      </c>
      <c r="ET77">
        <v>5.21</v>
      </c>
      <c r="EU77">
        <v>1.23</v>
      </c>
      <c r="EV77">
        <v>38.89</v>
      </c>
      <c r="EW77">
        <v>3.68</v>
      </c>
      <c r="EX77">
        <v>0</v>
      </c>
      <c r="EY77">
        <v>0</v>
      </c>
      <c r="FQ77">
        <v>0</v>
      </c>
      <c r="FR77">
        <f t="shared" si="95"/>
        <v>0</v>
      </c>
      <c r="FS77">
        <v>0</v>
      </c>
      <c r="FX77">
        <v>112</v>
      </c>
      <c r="FY77">
        <v>70</v>
      </c>
      <c r="GA77" t="s">
        <v>3</v>
      </c>
      <c r="GD77">
        <v>0</v>
      </c>
      <c r="GF77">
        <v>-780251073</v>
      </c>
      <c r="GG77">
        <v>2</v>
      </c>
      <c r="GH77">
        <v>1</v>
      </c>
      <c r="GI77">
        <v>2</v>
      </c>
      <c r="GJ77">
        <v>0</v>
      </c>
      <c r="GK77">
        <f>ROUND(R77*(R12)/100,2)</f>
        <v>106.65</v>
      </c>
      <c r="GL77">
        <f t="shared" si="96"/>
        <v>0</v>
      </c>
      <c r="GM77">
        <f t="shared" si="97"/>
        <v>5224.7700000000004</v>
      </c>
      <c r="GN77">
        <f t="shared" si="98"/>
        <v>0</v>
      </c>
      <c r="GO77">
        <f t="shared" si="99"/>
        <v>5224.7700000000004</v>
      </c>
      <c r="GP77">
        <f t="shared" si="100"/>
        <v>0</v>
      </c>
      <c r="GR77">
        <v>0</v>
      </c>
      <c r="GS77">
        <v>0</v>
      </c>
      <c r="GT77">
        <v>0</v>
      </c>
      <c r="GU77" t="s">
        <v>3</v>
      </c>
      <c r="GV77">
        <f t="shared" si="101"/>
        <v>0</v>
      </c>
      <c r="GW77">
        <v>1</v>
      </c>
      <c r="GX77">
        <f t="shared" si="102"/>
        <v>0</v>
      </c>
      <c r="HA77">
        <v>0</v>
      </c>
      <c r="HB77">
        <v>0</v>
      </c>
      <c r="HC77">
        <f t="shared" si="103"/>
        <v>0</v>
      </c>
      <c r="IK77">
        <v>0</v>
      </c>
    </row>
    <row r="78" spans="1:245" x14ac:dyDescent="0.2">
      <c r="A78">
        <v>18</v>
      </c>
      <c r="B78">
        <v>1</v>
      </c>
      <c r="C78">
        <v>9</v>
      </c>
      <c r="E78" t="s">
        <v>169</v>
      </c>
      <c r="F78" t="s">
        <v>170</v>
      </c>
      <c r="G78" t="s">
        <v>171</v>
      </c>
      <c r="H78" t="s">
        <v>155</v>
      </c>
      <c r="I78">
        <f>I77*J78</f>
        <v>447.02</v>
      </c>
      <c r="J78">
        <v>206</v>
      </c>
      <c r="O78">
        <f t="shared" si="67"/>
        <v>0</v>
      </c>
      <c r="P78">
        <f t="shared" si="68"/>
        <v>0</v>
      </c>
      <c r="Q78">
        <f t="shared" si="69"/>
        <v>0</v>
      </c>
      <c r="R78">
        <f t="shared" si="70"/>
        <v>0</v>
      </c>
      <c r="S78">
        <f t="shared" si="71"/>
        <v>0</v>
      </c>
      <c r="T78">
        <f t="shared" si="72"/>
        <v>0</v>
      </c>
      <c r="U78">
        <f t="shared" si="73"/>
        <v>0</v>
      </c>
      <c r="V78">
        <f t="shared" si="74"/>
        <v>0</v>
      </c>
      <c r="W78">
        <f t="shared" si="75"/>
        <v>0</v>
      </c>
      <c r="X78">
        <f t="shared" si="76"/>
        <v>0</v>
      </c>
      <c r="Y78">
        <f t="shared" si="77"/>
        <v>0</v>
      </c>
      <c r="AA78">
        <v>35678934</v>
      </c>
      <c r="AB78">
        <f t="shared" si="78"/>
        <v>0</v>
      </c>
      <c r="AC78">
        <f t="shared" si="79"/>
        <v>0</v>
      </c>
      <c r="AD78">
        <f>ROUND((ET78),6)</f>
        <v>0</v>
      </c>
      <c r="AE78">
        <f>ROUND((EU78),6)</f>
        <v>0</v>
      </c>
      <c r="AF78">
        <f>ROUND((EV78),6)</f>
        <v>0</v>
      </c>
      <c r="AG78">
        <f t="shared" si="81"/>
        <v>0</v>
      </c>
      <c r="AH78">
        <f>(EW78)</f>
        <v>0</v>
      </c>
      <c r="AI78">
        <f>(EX78)</f>
        <v>0</v>
      </c>
      <c r="AJ78">
        <f t="shared" si="83"/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1.0669999999999999</v>
      </c>
      <c r="AW78">
        <v>1.081</v>
      </c>
      <c r="AZ78">
        <v>1</v>
      </c>
      <c r="BA78">
        <v>1</v>
      </c>
      <c r="BB78">
        <v>1</v>
      </c>
      <c r="BC78">
        <v>1</v>
      </c>
      <c r="BD78" t="s">
        <v>3</v>
      </c>
      <c r="BE78" t="s">
        <v>3</v>
      </c>
      <c r="BF78" t="s">
        <v>3</v>
      </c>
      <c r="BG78" t="s">
        <v>3</v>
      </c>
      <c r="BH78">
        <v>3</v>
      </c>
      <c r="BI78">
        <v>2</v>
      </c>
      <c r="BJ78" t="s">
        <v>3</v>
      </c>
      <c r="BM78">
        <v>1517</v>
      </c>
      <c r="BN78">
        <v>0</v>
      </c>
      <c r="BO78" t="s">
        <v>3</v>
      </c>
      <c r="BP78">
        <v>0</v>
      </c>
      <c r="BQ78">
        <v>40</v>
      </c>
      <c r="BR78">
        <v>0</v>
      </c>
      <c r="BS78">
        <v>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0</v>
      </c>
      <c r="CA78">
        <v>0</v>
      </c>
      <c r="CE78">
        <v>0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 t="shared" si="84"/>
        <v>0</v>
      </c>
      <c r="CQ78">
        <f t="shared" si="85"/>
        <v>0</v>
      </c>
      <c r="CR78">
        <f t="shared" si="86"/>
        <v>0</v>
      </c>
      <c r="CS78">
        <f t="shared" si="87"/>
        <v>0</v>
      </c>
      <c r="CT78">
        <f t="shared" si="88"/>
        <v>0</v>
      </c>
      <c r="CU78">
        <f t="shared" si="89"/>
        <v>0</v>
      </c>
      <c r="CV78">
        <f t="shared" si="90"/>
        <v>0</v>
      </c>
      <c r="CW78">
        <f t="shared" si="91"/>
        <v>0</v>
      </c>
      <c r="CX78">
        <f t="shared" si="92"/>
        <v>0</v>
      </c>
      <c r="CY78">
        <f t="shared" si="93"/>
        <v>0</v>
      </c>
      <c r="CZ78">
        <f t="shared" si="94"/>
        <v>0</v>
      </c>
      <c r="DC78" t="s">
        <v>3</v>
      </c>
      <c r="DD78" t="s">
        <v>3</v>
      </c>
      <c r="DE78" t="s">
        <v>3</v>
      </c>
      <c r="DF78" t="s">
        <v>3</v>
      </c>
      <c r="DG78" t="s">
        <v>3</v>
      </c>
      <c r="DH78" t="s">
        <v>3</v>
      </c>
      <c r="DI78" t="s">
        <v>3</v>
      </c>
      <c r="DJ78" t="s">
        <v>3</v>
      </c>
      <c r="DK78" t="s">
        <v>3</v>
      </c>
      <c r="DL78" t="s">
        <v>3</v>
      </c>
      <c r="DM78" t="s">
        <v>3</v>
      </c>
      <c r="DN78">
        <v>112</v>
      </c>
      <c r="DO78">
        <v>70</v>
      </c>
      <c r="DP78">
        <v>1.0669999999999999</v>
      </c>
      <c r="DQ78">
        <v>1.081</v>
      </c>
      <c r="DU78">
        <v>1010</v>
      </c>
      <c r="DV78" t="s">
        <v>155</v>
      </c>
      <c r="DW78" t="s">
        <v>155</v>
      </c>
      <c r="DX78">
        <v>1</v>
      </c>
      <c r="EE78">
        <v>35105380</v>
      </c>
      <c r="EF78">
        <v>40</v>
      </c>
      <c r="EG78" t="s">
        <v>130</v>
      </c>
      <c r="EH78">
        <v>0</v>
      </c>
      <c r="EI78" t="s">
        <v>3</v>
      </c>
      <c r="EJ78">
        <v>2</v>
      </c>
      <c r="EK78">
        <v>1517</v>
      </c>
      <c r="EL78" t="s">
        <v>167</v>
      </c>
      <c r="EM78" t="s">
        <v>168</v>
      </c>
      <c r="EO78" t="s">
        <v>3</v>
      </c>
      <c r="EQ78">
        <v>0</v>
      </c>
      <c r="ER78">
        <v>0</v>
      </c>
      <c r="ES78">
        <v>0</v>
      </c>
      <c r="ET78">
        <v>0</v>
      </c>
      <c r="EU78">
        <v>0</v>
      </c>
      <c r="EV78">
        <v>0</v>
      </c>
      <c r="EW78">
        <v>0</v>
      </c>
      <c r="EX78">
        <v>0</v>
      </c>
      <c r="FQ78">
        <v>0</v>
      </c>
      <c r="FR78">
        <f t="shared" si="95"/>
        <v>0</v>
      </c>
      <c r="FS78">
        <v>0</v>
      </c>
      <c r="FX78">
        <v>112</v>
      </c>
      <c r="FY78">
        <v>70</v>
      </c>
      <c r="GA78" t="s">
        <v>172</v>
      </c>
      <c r="GD78">
        <v>0</v>
      </c>
      <c r="GF78">
        <v>-1353261033</v>
      </c>
      <c r="GG78">
        <v>2</v>
      </c>
      <c r="GH78">
        <v>1</v>
      </c>
      <c r="GI78">
        <v>-2</v>
      </c>
      <c r="GJ78">
        <v>0</v>
      </c>
      <c r="GK78">
        <f>ROUND(R78*(R12)/100,2)</f>
        <v>0</v>
      </c>
      <c r="GL78">
        <f t="shared" si="96"/>
        <v>0</v>
      </c>
      <c r="GM78">
        <f t="shared" si="97"/>
        <v>0</v>
      </c>
      <c r="GN78">
        <f t="shared" si="98"/>
        <v>0</v>
      </c>
      <c r="GO78">
        <f t="shared" si="99"/>
        <v>0</v>
      </c>
      <c r="GP78">
        <f t="shared" si="100"/>
        <v>0</v>
      </c>
      <c r="GR78">
        <v>0</v>
      </c>
      <c r="GS78">
        <v>4</v>
      </c>
      <c r="GT78">
        <v>0</v>
      </c>
      <c r="GU78" t="s">
        <v>3</v>
      </c>
      <c r="GV78">
        <f t="shared" si="101"/>
        <v>0</v>
      </c>
      <c r="GW78">
        <v>1</v>
      </c>
      <c r="GX78">
        <f t="shared" si="102"/>
        <v>0</v>
      </c>
      <c r="HA78">
        <v>0</v>
      </c>
      <c r="HB78">
        <v>0</v>
      </c>
      <c r="HC78">
        <f t="shared" si="103"/>
        <v>0</v>
      </c>
      <c r="IK78">
        <v>0</v>
      </c>
    </row>
    <row r="80" spans="1:245" x14ac:dyDescent="0.2">
      <c r="A80" s="2">
        <v>51</v>
      </c>
      <c r="B80" s="2">
        <f>B66</f>
        <v>1</v>
      </c>
      <c r="C80" s="2">
        <f>A66</f>
        <v>4</v>
      </c>
      <c r="D80" s="2">
        <f>ROW(A66)</f>
        <v>66</v>
      </c>
      <c r="E80" s="2"/>
      <c r="F80" s="2" t="str">
        <f>IF(F66&lt;&gt;"",F66,"")</f>
        <v>Новый раздел</v>
      </c>
      <c r="G80" s="2" t="str">
        <f>IF(G66&lt;&gt;"",G66,"")</f>
        <v>Монтажные работы</v>
      </c>
      <c r="H80" s="2">
        <v>0</v>
      </c>
      <c r="I80" s="2"/>
      <c r="J80" s="2"/>
      <c r="K80" s="2"/>
      <c r="L80" s="2"/>
      <c r="M80" s="2"/>
      <c r="N80" s="2"/>
      <c r="O80" s="2">
        <f t="shared" ref="O80:T80" si="104">ROUND(AB80,2)</f>
        <v>458139.29</v>
      </c>
      <c r="P80" s="2">
        <f t="shared" si="104"/>
        <v>301402.36</v>
      </c>
      <c r="Q80" s="2">
        <f t="shared" si="104"/>
        <v>109707.59</v>
      </c>
      <c r="R80" s="2">
        <f t="shared" si="104"/>
        <v>62985.01</v>
      </c>
      <c r="S80" s="2">
        <f t="shared" si="104"/>
        <v>47029.34</v>
      </c>
      <c r="T80" s="2">
        <f t="shared" si="104"/>
        <v>0</v>
      </c>
      <c r="U80" s="2">
        <f>AH80</f>
        <v>185.30760433999995</v>
      </c>
      <c r="V80" s="2">
        <f>AI80</f>
        <v>0</v>
      </c>
      <c r="W80" s="2">
        <f>ROUND(AJ80,2)</f>
        <v>0</v>
      </c>
      <c r="X80" s="2">
        <f>ROUND(AK80,2)</f>
        <v>42326.400000000001</v>
      </c>
      <c r="Y80" s="2">
        <f>ROUND(AL80,2)</f>
        <v>20222.62</v>
      </c>
      <c r="Z80" s="2"/>
      <c r="AA80" s="2"/>
      <c r="AB80" s="2">
        <f>ROUND(SUMIF(AA70:AA78,"=35678934",O70:O78),2)</f>
        <v>458139.29</v>
      </c>
      <c r="AC80" s="2">
        <f>ROUND(SUMIF(AA70:AA78,"=35678934",P70:P78),2)</f>
        <v>301402.36</v>
      </c>
      <c r="AD80" s="2">
        <f>ROUND(SUMIF(AA70:AA78,"=35678934",Q70:Q78),2)</f>
        <v>109707.59</v>
      </c>
      <c r="AE80" s="2">
        <f>ROUND(SUMIF(AA70:AA78,"=35678934",R70:R78),2)</f>
        <v>62985.01</v>
      </c>
      <c r="AF80" s="2">
        <f>ROUND(SUMIF(AA70:AA78,"=35678934",S70:S78),2)</f>
        <v>47029.34</v>
      </c>
      <c r="AG80" s="2">
        <f>ROUND(SUMIF(AA70:AA78,"=35678934",T70:T78),2)</f>
        <v>0</v>
      </c>
      <c r="AH80" s="2">
        <f>SUMIF(AA70:AA78,"=35678934",U70:U78)</f>
        <v>185.30760433999995</v>
      </c>
      <c r="AI80" s="2">
        <f>SUMIF(AA70:AA78,"=35678934",V70:V78)</f>
        <v>0</v>
      </c>
      <c r="AJ80" s="2">
        <f>ROUND(SUMIF(AA70:AA78,"=35678934",W70:W78),2)</f>
        <v>0</v>
      </c>
      <c r="AK80" s="2">
        <f>ROUND(SUMIF(AA70:AA78,"=35678934",X70:X78),2)</f>
        <v>42326.400000000001</v>
      </c>
      <c r="AL80" s="2">
        <f>ROUND(SUMIF(AA70:AA78,"=35678934",Y70:Y78),2)</f>
        <v>20222.62</v>
      </c>
      <c r="AM80" s="2"/>
      <c r="AN80" s="2"/>
      <c r="AO80" s="2">
        <f t="shared" ref="AO80:BC80" si="105">ROUND(BX80,2)</f>
        <v>0</v>
      </c>
      <c r="AP80" s="2">
        <f t="shared" si="105"/>
        <v>0</v>
      </c>
      <c r="AQ80" s="2">
        <f t="shared" si="105"/>
        <v>0</v>
      </c>
      <c r="AR80" s="2">
        <f t="shared" si="105"/>
        <v>619574.77</v>
      </c>
      <c r="AS80" s="2">
        <f t="shared" si="105"/>
        <v>0</v>
      </c>
      <c r="AT80" s="2">
        <f t="shared" si="105"/>
        <v>619574.77</v>
      </c>
      <c r="AU80" s="2">
        <f t="shared" si="105"/>
        <v>0</v>
      </c>
      <c r="AV80" s="2">
        <f t="shared" si="105"/>
        <v>301402.36</v>
      </c>
      <c r="AW80" s="2">
        <f t="shared" si="105"/>
        <v>301402.36</v>
      </c>
      <c r="AX80" s="2">
        <f t="shared" si="105"/>
        <v>0</v>
      </c>
      <c r="AY80" s="2">
        <f t="shared" si="105"/>
        <v>301402.36</v>
      </c>
      <c r="AZ80" s="2">
        <f t="shared" si="105"/>
        <v>0</v>
      </c>
      <c r="BA80" s="2">
        <f t="shared" si="105"/>
        <v>0</v>
      </c>
      <c r="BB80" s="2">
        <f t="shared" si="105"/>
        <v>0</v>
      </c>
      <c r="BC80" s="2">
        <f t="shared" si="105"/>
        <v>0</v>
      </c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>
        <f>ROUND(SUMIF(AA70:AA78,"=35678934",FQ70:FQ78),2)</f>
        <v>0</v>
      </c>
      <c r="BY80" s="2">
        <f>ROUND(SUMIF(AA70:AA78,"=35678934",FR70:FR78),2)</f>
        <v>0</v>
      </c>
      <c r="BZ80" s="2">
        <f>ROUND(SUMIF(AA70:AA78,"=35678934",GL70:GL78),2)</f>
        <v>0</v>
      </c>
      <c r="CA80" s="2">
        <f>ROUND(SUMIF(AA70:AA78,"=35678934",GM70:GM78),2)</f>
        <v>619574.77</v>
      </c>
      <c r="CB80" s="2">
        <f>ROUND(SUMIF(AA70:AA78,"=35678934",GN70:GN78),2)</f>
        <v>0</v>
      </c>
      <c r="CC80" s="2">
        <f>ROUND(SUMIF(AA70:AA78,"=35678934",GO70:GO78),2)</f>
        <v>619574.77</v>
      </c>
      <c r="CD80" s="2">
        <f>ROUND(SUMIF(AA70:AA78,"=35678934",GP70:GP78),2)</f>
        <v>0</v>
      </c>
      <c r="CE80" s="2">
        <f>AC80-BX80</f>
        <v>301402.36</v>
      </c>
      <c r="CF80" s="2">
        <f>AC80-BY80</f>
        <v>301402.36</v>
      </c>
      <c r="CG80" s="2">
        <f>BX80-BZ80</f>
        <v>0</v>
      </c>
      <c r="CH80" s="2">
        <f>AC80-BX80-BY80+BZ80</f>
        <v>301402.36</v>
      </c>
      <c r="CI80" s="2">
        <f>BY80-BZ80</f>
        <v>0</v>
      </c>
      <c r="CJ80" s="2">
        <f>ROUND(SUMIF(AA70:AA78,"=35678934",GX70:GX78),2)</f>
        <v>0</v>
      </c>
      <c r="CK80" s="2">
        <f>ROUND(SUMIF(AA70:AA78,"=35678934",GY70:GY78),2)</f>
        <v>0</v>
      </c>
      <c r="CL80" s="2">
        <f>ROUND(SUMIF(AA70:AA78,"=35678934",GZ70:GZ78),2)</f>
        <v>0</v>
      </c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>
        <v>0</v>
      </c>
    </row>
    <row r="82" spans="1:23" x14ac:dyDescent="0.2">
      <c r="A82" s="4">
        <v>50</v>
      </c>
      <c r="B82" s="4">
        <v>0</v>
      </c>
      <c r="C82" s="4">
        <v>0</v>
      </c>
      <c r="D82" s="4">
        <v>1</v>
      </c>
      <c r="E82" s="4">
        <v>201</v>
      </c>
      <c r="F82" s="4">
        <f>ROUND(Source!O80,O82)</f>
        <v>458139.29</v>
      </c>
      <c r="G82" s="4" t="s">
        <v>73</v>
      </c>
      <c r="H82" s="4" t="s">
        <v>74</v>
      </c>
      <c r="I82" s="4"/>
      <c r="J82" s="4"/>
      <c r="K82" s="4">
        <v>201</v>
      </c>
      <c r="L82" s="4">
        <v>1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/>
    </row>
    <row r="83" spans="1:23" x14ac:dyDescent="0.2">
      <c r="A83" s="4">
        <v>50</v>
      </c>
      <c r="B83" s="4">
        <v>0</v>
      </c>
      <c r="C83" s="4">
        <v>0</v>
      </c>
      <c r="D83" s="4">
        <v>1</v>
      </c>
      <c r="E83" s="4">
        <v>202</v>
      </c>
      <c r="F83" s="4">
        <f>ROUND(Source!P80,O83)</f>
        <v>301402.36</v>
      </c>
      <c r="G83" s="4" t="s">
        <v>75</v>
      </c>
      <c r="H83" s="4" t="s">
        <v>76</v>
      </c>
      <c r="I83" s="4"/>
      <c r="J83" s="4"/>
      <c r="K83" s="4">
        <v>202</v>
      </c>
      <c r="L83" s="4">
        <v>2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/>
    </row>
    <row r="84" spans="1:23" x14ac:dyDescent="0.2">
      <c r="A84" s="4">
        <v>50</v>
      </c>
      <c r="B84" s="4">
        <v>0</v>
      </c>
      <c r="C84" s="4">
        <v>0</v>
      </c>
      <c r="D84" s="4">
        <v>1</v>
      </c>
      <c r="E84" s="4">
        <v>222</v>
      </c>
      <c r="F84" s="4">
        <f>ROUND(Source!AO80,O84)</f>
        <v>0</v>
      </c>
      <c r="G84" s="4" t="s">
        <v>77</v>
      </c>
      <c r="H84" s="4" t="s">
        <v>78</v>
      </c>
      <c r="I84" s="4"/>
      <c r="J84" s="4"/>
      <c r="K84" s="4">
        <v>222</v>
      </c>
      <c r="L84" s="4">
        <v>3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/>
    </row>
    <row r="85" spans="1:23" x14ac:dyDescent="0.2">
      <c r="A85" s="4">
        <v>50</v>
      </c>
      <c r="B85" s="4">
        <v>0</v>
      </c>
      <c r="C85" s="4">
        <v>0</v>
      </c>
      <c r="D85" s="4">
        <v>1</v>
      </c>
      <c r="E85" s="4">
        <v>225</v>
      </c>
      <c r="F85" s="4">
        <f>ROUND(Source!AV80,O85)</f>
        <v>301402.36</v>
      </c>
      <c r="G85" s="4" t="s">
        <v>79</v>
      </c>
      <c r="H85" s="4" t="s">
        <v>80</v>
      </c>
      <c r="I85" s="4"/>
      <c r="J85" s="4"/>
      <c r="K85" s="4">
        <v>225</v>
      </c>
      <c r="L85" s="4">
        <v>4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/>
    </row>
    <row r="86" spans="1:23" x14ac:dyDescent="0.2">
      <c r="A86" s="4">
        <v>50</v>
      </c>
      <c r="B86" s="4">
        <v>0</v>
      </c>
      <c r="C86" s="4">
        <v>0</v>
      </c>
      <c r="D86" s="4">
        <v>1</v>
      </c>
      <c r="E86" s="4">
        <v>226</v>
      </c>
      <c r="F86" s="4">
        <f>ROUND(Source!AW80,O86)</f>
        <v>301402.36</v>
      </c>
      <c r="G86" s="4" t="s">
        <v>81</v>
      </c>
      <c r="H86" s="4" t="s">
        <v>82</v>
      </c>
      <c r="I86" s="4"/>
      <c r="J86" s="4"/>
      <c r="K86" s="4">
        <v>226</v>
      </c>
      <c r="L86" s="4">
        <v>5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/>
    </row>
    <row r="87" spans="1:23" x14ac:dyDescent="0.2">
      <c r="A87" s="4">
        <v>50</v>
      </c>
      <c r="B87" s="4">
        <v>0</v>
      </c>
      <c r="C87" s="4">
        <v>0</v>
      </c>
      <c r="D87" s="4">
        <v>1</v>
      </c>
      <c r="E87" s="4">
        <v>227</v>
      </c>
      <c r="F87" s="4">
        <f>ROUND(Source!AX80,O87)</f>
        <v>0</v>
      </c>
      <c r="G87" s="4" t="s">
        <v>83</v>
      </c>
      <c r="H87" s="4" t="s">
        <v>84</v>
      </c>
      <c r="I87" s="4"/>
      <c r="J87" s="4"/>
      <c r="K87" s="4">
        <v>227</v>
      </c>
      <c r="L87" s="4">
        <v>6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/>
    </row>
    <row r="88" spans="1:23" x14ac:dyDescent="0.2">
      <c r="A88" s="4">
        <v>50</v>
      </c>
      <c r="B88" s="4">
        <v>0</v>
      </c>
      <c r="C88" s="4">
        <v>0</v>
      </c>
      <c r="D88" s="4">
        <v>1</v>
      </c>
      <c r="E88" s="4">
        <v>228</v>
      </c>
      <c r="F88" s="4">
        <f>ROUND(Source!AY80,O88)</f>
        <v>301402.36</v>
      </c>
      <c r="G88" s="4" t="s">
        <v>85</v>
      </c>
      <c r="H88" s="4" t="s">
        <v>86</v>
      </c>
      <c r="I88" s="4"/>
      <c r="J88" s="4"/>
      <c r="K88" s="4">
        <v>228</v>
      </c>
      <c r="L88" s="4">
        <v>7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/>
    </row>
    <row r="89" spans="1:23" x14ac:dyDescent="0.2">
      <c r="A89" s="4">
        <v>50</v>
      </c>
      <c r="B89" s="4">
        <v>0</v>
      </c>
      <c r="C89" s="4">
        <v>0</v>
      </c>
      <c r="D89" s="4">
        <v>1</v>
      </c>
      <c r="E89" s="4">
        <v>216</v>
      </c>
      <c r="F89" s="4">
        <f>ROUND(Source!AP80,O89)</f>
        <v>0</v>
      </c>
      <c r="G89" s="4" t="s">
        <v>87</v>
      </c>
      <c r="H89" s="4" t="s">
        <v>88</v>
      </c>
      <c r="I89" s="4"/>
      <c r="J89" s="4"/>
      <c r="K89" s="4">
        <v>216</v>
      </c>
      <c r="L89" s="4">
        <v>8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/>
    </row>
    <row r="90" spans="1:23" x14ac:dyDescent="0.2">
      <c r="A90" s="4">
        <v>50</v>
      </c>
      <c r="B90" s="4">
        <v>0</v>
      </c>
      <c r="C90" s="4">
        <v>0</v>
      </c>
      <c r="D90" s="4">
        <v>1</v>
      </c>
      <c r="E90" s="4">
        <v>223</v>
      </c>
      <c r="F90" s="4">
        <f>ROUND(Source!AQ80,O90)</f>
        <v>0</v>
      </c>
      <c r="G90" s="4" t="s">
        <v>89</v>
      </c>
      <c r="H90" s="4" t="s">
        <v>90</v>
      </c>
      <c r="I90" s="4"/>
      <c r="J90" s="4"/>
      <c r="K90" s="4">
        <v>223</v>
      </c>
      <c r="L90" s="4">
        <v>9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/>
    </row>
    <row r="91" spans="1:23" x14ac:dyDescent="0.2">
      <c r="A91" s="4">
        <v>50</v>
      </c>
      <c r="B91" s="4">
        <v>0</v>
      </c>
      <c r="C91" s="4">
        <v>0</v>
      </c>
      <c r="D91" s="4">
        <v>1</v>
      </c>
      <c r="E91" s="4">
        <v>229</v>
      </c>
      <c r="F91" s="4">
        <f>ROUND(Source!AZ80,O91)</f>
        <v>0</v>
      </c>
      <c r="G91" s="4" t="s">
        <v>91</v>
      </c>
      <c r="H91" s="4" t="s">
        <v>92</v>
      </c>
      <c r="I91" s="4"/>
      <c r="J91" s="4"/>
      <c r="K91" s="4">
        <v>229</v>
      </c>
      <c r="L91" s="4">
        <v>10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/>
    </row>
    <row r="92" spans="1:23" x14ac:dyDescent="0.2">
      <c r="A92" s="4">
        <v>50</v>
      </c>
      <c r="B92" s="4">
        <v>0</v>
      </c>
      <c r="C92" s="4">
        <v>0</v>
      </c>
      <c r="D92" s="4">
        <v>1</v>
      </c>
      <c r="E92" s="4">
        <v>203</v>
      </c>
      <c r="F92" s="4">
        <f>ROUND(Source!Q80,O92)</f>
        <v>109707.59</v>
      </c>
      <c r="G92" s="4" t="s">
        <v>93</v>
      </c>
      <c r="H92" s="4" t="s">
        <v>94</v>
      </c>
      <c r="I92" s="4"/>
      <c r="J92" s="4"/>
      <c r="K92" s="4">
        <v>203</v>
      </c>
      <c r="L92" s="4">
        <v>11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/>
    </row>
    <row r="93" spans="1:23" x14ac:dyDescent="0.2">
      <c r="A93" s="4">
        <v>50</v>
      </c>
      <c r="B93" s="4">
        <v>0</v>
      </c>
      <c r="C93" s="4">
        <v>0</v>
      </c>
      <c r="D93" s="4">
        <v>1</v>
      </c>
      <c r="E93" s="4">
        <v>231</v>
      </c>
      <c r="F93" s="4">
        <f>ROUND(Source!BB80,O93)</f>
        <v>0</v>
      </c>
      <c r="G93" s="4" t="s">
        <v>95</v>
      </c>
      <c r="H93" s="4" t="s">
        <v>96</v>
      </c>
      <c r="I93" s="4"/>
      <c r="J93" s="4"/>
      <c r="K93" s="4">
        <v>231</v>
      </c>
      <c r="L93" s="4">
        <v>12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/>
    </row>
    <row r="94" spans="1:23" x14ac:dyDescent="0.2">
      <c r="A94" s="4">
        <v>50</v>
      </c>
      <c r="B94" s="4">
        <v>0</v>
      </c>
      <c r="C94" s="4">
        <v>0</v>
      </c>
      <c r="D94" s="4">
        <v>1</v>
      </c>
      <c r="E94" s="4">
        <v>204</v>
      </c>
      <c r="F94" s="4">
        <f>ROUND(Source!R80,O94)</f>
        <v>62985.01</v>
      </c>
      <c r="G94" s="4" t="s">
        <v>97</v>
      </c>
      <c r="H94" s="4" t="s">
        <v>98</v>
      </c>
      <c r="I94" s="4"/>
      <c r="J94" s="4"/>
      <c r="K94" s="4">
        <v>204</v>
      </c>
      <c r="L94" s="4">
        <v>13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/>
    </row>
    <row r="95" spans="1:23" x14ac:dyDescent="0.2">
      <c r="A95" s="4">
        <v>50</v>
      </c>
      <c r="B95" s="4">
        <v>0</v>
      </c>
      <c r="C95" s="4">
        <v>0</v>
      </c>
      <c r="D95" s="4">
        <v>1</v>
      </c>
      <c r="E95" s="4">
        <v>205</v>
      </c>
      <c r="F95" s="4">
        <f>ROUND(Source!S80,O95)</f>
        <v>47029.34</v>
      </c>
      <c r="G95" s="4" t="s">
        <v>99</v>
      </c>
      <c r="H95" s="4" t="s">
        <v>100</v>
      </c>
      <c r="I95" s="4"/>
      <c r="J95" s="4"/>
      <c r="K95" s="4">
        <v>205</v>
      </c>
      <c r="L95" s="4">
        <v>14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/>
    </row>
    <row r="96" spans="1:23" x14ac:dyDescent="0.2">
      <c r="A96" s="4">
        <v>50</v>
      </c>
      <c r="B96" s="4">
        <v>0</v>
      </c>
      <c r="C96" s="4">
        <v>0</v>
      </c>
      <c r="D96" s="4">
        <v>1</v>
      </c>
      <c r="E96" s="4">
        <v>232</v>
      </c>
      <c r="F96" s="4">
        <f>ROUND(Source!BC80,O96)</f>
        <v>0</v>
      </c>
      <c r="G96" s="4" t="s">
        <v>101</v>
      </c>
      <c r="H96" s="4" t="s">
        <v>102</v>
      </c>
      <c r="I96" s="4"/>
      <c r="J96" s="4"/>
      <c r="K96" s="4">
        <v>232</v>
      </c>
      <c r="L96" s="4">
        <v>15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/>
    </row>
    <row r="97" spans="1:206" x14ac:dyDescent="0.2">
      <c r="A97" s="4">
        <v>50</v>
      </c>
      <c r="B97" s="4">
        <v>0</v>
      </c>
      <c r="C97" s="4">
        <v>0</v>
      </c>
      <c r="D97" s="4">
        <v>1</v>
      </c>
      <c r="E97" s="4">
        <v>214</v>
      </c>
      <c r="F97" s="4">
        <f>ROUND(Source!AS80,O97)</f>
        <v>0</v>
      </c>
      <c r="G97" s="4" t="s">
        <v>103</v>
      </c>
      <c r="H97" s="4" t="s">
        <v>104</v>
      </c>
      <c r="I97" s="4"/>
      <c r="J97" s="4"/>
      <c r="K97" s="4">
        <v>214</v>
      </c>
      <c r="L97" s="4">
        <v>16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/>
    </row>
    <row r="98" spans="1:206" x14ac:dyDescent="0.2">
      <c r="A98" s="4">
        <v>50</v>
      </c>
      <c r="B98" s="4">
        <v>0</v>
      </c>
      <c r="C98" s="4">
        <v>0</v>
      </c>
      <c r="D98" s="4">
        <v>1</v>
      </c>
      <c r="E98" s="4">
        <v>215</v>
      </c>
      <c r="F98" s="4">
        <f>ROUND(Source!AT80,O98)</f>
        <v>619574.77</v>
      </c>
      <c r="G98" s="4" t="s">
        <v>105</v>
      </c>
      <c r="H98" s="4" t="s">
        <v>106</v>
      </c>
      <c r="I98" s="4"/>
      <c r="J98" s="4"/>
      <c r="K98" s="4">
        <v>215</v>
      </c>
      <c r="L98" s="4">
        <v>17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/>
    </row>
    <row r="99" spans="1:206" x14ac:dyDescent="0.2">
      <c r="A99" s="4">
        <v>50</v>
      </c>
      <c r="B99" s="4">
        <v>0</v>
      </c>
      <c r="C99" s="4">
        <v>0</v>
      </c>
      <c r="D99" s="4">
        <v>1</v>
      </c>
      <c r="E99" s="4">
        <v>217</v>
      </c>
      <c r="F99" s="4">
        <f>ROUND(Source!AU80,O99)</f>
        <v>0</v>
      </c>
      <c r="G99" s="4" t="s">
        <v>107</v>
      </c>
      <c r="H99" s="4" t="s">
        <v>108</v>
      </c>
      <c r="I99" s="4"/>
      <c r="J99" s="4"/>
      <c r="K99" s="4">
        <v>217</v>
      </c>
      <c r="L99" s="4">
        <v>18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/>
    </row>
    <row r="100" spans="1:206" x14ac:dyDescent="0.2">
      <c r="A100" s="4">
        <v>50</v>
      </c>
      <c r="B100" s="4">
        <v>0</v>
      </c>
      <c r="C100" s="4">
        <v>0</v>
      </c>
      <c r="D100" s="4">
        <v>1</v>
      </c>
      <c r="E100" s="4">
        <v>230</v>
      </c>
      <c r="F100" s="4">
        <f>ROUND(Source!BA80,O100)</f>
        <v>0</v>
      </c>
      <c r="G100" s="4" t="s">
        <v>109</v>
      </c>
      <c r="H100" s="4" t="s">
        <v>110</v>
      </c>
      <c r="I100" s="4"/>
      <c r="J100" s="4"/>
      <c r="K100" s="4">
        <v>230</v>
      </c>
      <c r="L100" s="4">
        <v>19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/>
    </row>
    <row r="101" spans="1:206" x14ac:dyDescent="0.2">
      <c r="A101" s="4">
        <v>50</v>
      </c>
      <c r="B101" s="4">
        <v>0</v>
      </c>
      <c r="C101" s="4">
        <v>0</v>
      </c>
      <c r="D101" s="4">
        <v>1</v>
      </c>
      <c r="E101" s="4">
        <v>206</v>
      </c>
      <c r="F101" s="4">
        <f>ROUND(Source!T80,O101)</f>
        <v>0</v>
      </c>
      <c r="G101" s="4" t="s">
        <v>111</v>
      </c>
      <c r="H101" s="4" t="s">
        <v>112</v>
      </c>
      <c r="I101" s="4"/>
      <c r="J101" s="4"/>
      <c r="K101" s="4">
        <v>206</v>
      </c>
      <c r="L101" s="4">
        <v>20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/>
    </row>
    <row r="102" spans="1:206" x14ac:dyDescent="0.2">
      <c r="A102" s="4">
        <v>50</v>
      </c>
      <c r="B102" s="4">
        <v>0</v>
      </c>
      <c r="C102" s="4">
        <v>0</v>
      </c>
      <c r="D102" s="4">
        <v>1</v>
      </c>
      <c r="E102" s="4">
        <v>207</v>
      </c>
      <c r="F102" s="4">
        <f>Source!U80</f>
        <v>185.30760433999995</v>
      </c>
      <c r="G102" s="4" t="s">
        <v>113</v>
      </c>
      <c r="H102" s="4" t="s">
        <v>114</v>
      </c>
      <c r="I102" s="4"/>
      <c r="J102" s="4"/>
      <c r="K102" s="4">
        <v>207</v>
      </c>
      <c r="L102" s="4">
        <v>21</v>
      </c>
      <c r="M102" s="4">
        <v>3</v>
      </c>
      <c r="N102" s="4" t="s">
        <v>3</v>
      </c>
      <c r="O102" s="4">
        <v>-1</v>
      </c>
      <c r="P102" s="4"/>
      <c r="Q102" s="4"/>
      <c r="R102" s="4"/>
      <c r="S102" s="4"/>
      <c r="T102" s="4"/>
      <c r="U102" s="4"/>
      <c r="V102" s="4"/>
      <c r="W102" s="4"/>
    </row>
    <row r="103" spans="1:206" x14ac:dyDescent="0.2">
      <c r="A103" s="4">
        <v>50</v>
      </c>
      <c r="B103" s="4">
        <v>0</v>
      </c>
      <c r="C103" s="4">
        <v>0</v>
      </c>
      <c r="D103" s="4">
        <v>1</v>
      </c>
      <c r="E103" s="4">
        <v>208</v>
      </c>
      <c r="F103" s="4">
        <f>Source!V80</f>
        <v>0</v>
      </c>
      <c r="G103" s="4" t="s">
        <v>115</v>
      </c>
      <c r="H103" s="4" t="s">
        <v>116</v>
      </c>
      <c r="I103" s="4"/>
      <c r="J103" s="4"/>
      <c r="K103" s="4">
        <v>208</v>
      </c>
      <c r="L103" s="4">
        <v>22</v>
      </c>
      <c r="M103" s="4">
        <v>3</v>
      </c>
      <c r="N103" s="4" t="s">
        <v>3</v>
      </c>
      <c r="O103" s="4">
        <v>-1</v>
      </c>
      <c r="P103" s="4"/>
      <c r="Q103" s="4"/>
      <c r="R103" s="4"/>
      <c r="S103" s="4"/>
      <c r="T103" s="4"/>
      <c r="U103" s="4"/>
      <c r="V103" s="4"/>
      <c r="W103" s="4"/>
    </row>
    <row r="104" spans="1:206" x14ac:dyDescent="0.2">
      <c r="A104" s="4">
        <v>50</v>
      </c>
      <c r="B104" s="4">
        <v>0</v>
      </c>
      <c r="C104" s="4">
        <v>0</v>
      </c>
      <c r="D104" s="4">
        <v>1</v>
      </c>
      <c r="E104" s="4">
        <v>209</v>
      </c>
      <c r="F104" s="4">
        <f>ROUND(Source!W80,O104)</f>
        <v>0</v>
      </c>
      <c r="G104" s="4" t="s">
        <v>117</v>
      </c>
      <c r="H104" s="4" t="s">
        <v>118</v>
      </c>
      <c r="I104" s="4"/>
      <c r="J104" s="4"/>
      <c r="K104" s="4">
        <v>209</v>
      </c>
      <c r="L104" s="4">
        <v>23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/>
    </row>
    <row r="105" spans="1:206" x14ac:dyDescent="0.2">
      <c r="A105" s="4">
        <v>50</v>
      </c>
      <c r="B105" s="4">
        <v>0</v>
      </c>
      <c r="C105" s="4">
        <v>0</v>
      </c>
      <c r="D105" s="4">
        <v>1</v>
      </c>
      <c r="E105" s="4">
        <v>210</v>
      </c>
      <c r="F105" s="4">
        <f>ROUND(Source!X80,O105)</f>
        <v>42326.400000000001</v>
      </c>
      <c r="G105" s="4" t="s">
        <v>119</v>
      </c>
      <c r="H105" s="4" t="s">
        <v>120</v>
      </c>
      <c r="I105" s="4"/>
      <c r="J105" s="4"/>
      <c r="K105" s="4">
        <v>210</v>
      </c>
      <c r="L105" s="4">
        <v>24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/>
    </row>
    <row r="106" spans="1:206" x14ac:dyDescent="0.2">
      <c r="A106" s="4">
        <v>50</v>
      </c>
      <c r="B106" s="4">
        <v>0</v>
      </c>
      <c r="C106" s="4">
        <v>0</v>
      </c>
      <c r="D106" s="4">
        <v>1</v>
      </c>
      <c r="E106" s="4">
        <v>211</v>
      </c>
      <c r="F106" s="4">
        <f>ROUND(Source!Y80,O106)</f>
        <v>20222.62</v>
      </c>
      <c r="G106" s="4" t="s">
        <v>121</v>
      </c>
      <c r="H106" s="4" t="s">
        <v>122</v>
      </c>
      <c r="I106" s="4"/>
      <c r="J106" s="4"/>
      <c r="K106" s="4">
        <v>211</v>
      </c>
      <c r="L106" s="4">
        <v>25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/>
    </row>
    <row r="107" spans="1:206" x14ac:dyDescent="0.2">
      <c r="A107" s="4">
        <v>50</v>
      </c>
      <c r="B107" s="4">
        <v>0</v>
      </c>
      <c r="C107" s="4">
        <v>0</v>
      </c>
      <c r="D107" s="4">
        <v>1</v>
      </c>
      <c r="E107" s="4">
        <v>224</v>
      </c>
      <c r="F107" s="4">
        <f>ROUND(Source!AR80,O107)</f>
        <v>619574.77</v>
      </c>
      <c r="G107" s="4" t="s">
        <v>123</v>
      </c>
      <c r="H107" s="4" t="s">
        <v>124</v>
      </c>
      <c r="I107" s="4"/>
      <c r="J107" s="4"/>
      <c r="K107" s="4">
        <v>224</v>
      </c>
      <c r="L107" s="4">
        <v>26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/>
    </row>
    <row r="109" spans="1:206" x14ac:dyDescent="0.2">
      <c r="A109" s="1">
        <v>4</v>
      </c>
      <c r="B109" s="1">
        <v>1</v>
      </c>
      <c r="C109" s="1"/>
      <c r="D109" s="1">
        <f>ROW(A116)</f>
        <v>116</v>
      </c>
      <c r="E109" s="1"/>
      <c r="F109" s="1" t="s">
        <v>13</v>
      </c>
      <c r="G109" s="1" t="s">
        <v>173</v>
      </c>
      <c r="H109" s="1" t="s">
        <v>3</v>
      </c>
      <c r="I109" s="1">
        <v>0</v>
      </c>
      <c r="J109" s="1"/>
      <c r="K109" s="1">
        <v>0</v>
      </c>
      <c r="L109" s="1"/>
      <c r="M109" s="1"/>
      <c r="N109" s="1"/>
      <c r="O109" s="1"/>
      <c r="P109" s="1"/>
      <c r="Q109" s="1"/>
      <c r="R109" s="1"/>
      <c r="S109" s="1"/>
      <c r="T109" s="1"/>
      <c r="U109" s="1" t="s">
        <v>3</v>
      </c>
      <c r="V109" s="1">
        <v>0</v>
      </c>
      <c r="W109" s="1"/>
      <c r="X109" s="1"/>
      <c r="Y109" s="1"/>
      <c r="Z109" s="1"/>
      <c r="AA109" s="1"/>
      <c r="AB109" s="1" t="s">
        <v>3</v>
      </c>
      <c r="AC109" s="1" t="s">
        <v>3</v>
      </c>
      <c r="AD109" s="1" t="s">
        <v>3</v>
      </c>
      <c r="AE109" s="1" t="s">
        <v>3</v>
      </c>
      <c r="AF109" s="1" t="s">
        <v>3</v>
      </c>
      <c r="AG109" s="1" t="s">
        <v>3</v>
      </c>
      <c r="AH109" s="1"/>
      <c r="AI109" s="1"/>
      <c r="AJ109" s="1"/>
      <c r="AK109" s="1"/>
      <c r="AL109" s="1"/>
      <c r="AM109" s="1"/>
      <c r="AN109" s="1"/>
      <c r="AO109" s="1"/>
      <c r="AP109" s="1" t="s">
        <v>3</v>
      </c>
      <c r="AQ109" s="1" t="s">
        <v>3</v>
      </c>
      <c r="AR109" s="1" t="s">
        <v>3</v>
      </c>
      <c r="AS109" s="1"/>
      <c r="AT109" s="1"/>
      <c r="AU109" s="1"/>
      <c r="AV109" s="1"/>
      <c r="AW109" s="1"/>
      <c r="AX109" s="1"/>
      <c r="AY109" s="1"/>
      <c r="AZ109" s="1" t="s">
        <v>3</v>
      </c>
      <c r="BA109" s="1"/>
      <c r="BB109" s="1" t="s">
        <v>3</v>
      </c>
      <c r="BC109" s="1" t="s">
        <v>3</v>
      </c>
      <c r="BD109" s="1" t="s">
        <v>3</v>
      </c>
      <c r="BE109" s="1" t="s">
        <v>3</v>
      </c>
      <c r="BF109" s="1" t="s">
        <v>3</v>
      </c>
      <c r="BG109" s="1" t="s">
        <v>3</v>
      </c>
      <c r="BH109" s="1" t="s">
        <v>3</v>
      </c>
      <c r="BI109" s="1" t="s">
        <v>3</v>
      </c>
      <c r="BJ109" s="1" t="s">
        <v>3</v>
      </c>
      <c r="BK109" s="1" t="s">
        <v>3</v>
      </c>
      <c r="BL109" s="1" t="s">
        <v>3</v>
      </c>
      <c r="BM109" s="1" t="s">
        <v>3</v>
      </c>
      <c r="BN109" s="1" t="s">
        <v>3</v>
      </c>
      <c r="BO109" s="1" t="s">
        <v>3</v>
      </c>
      <c r="BP109" s="1" t="s">
        <v>3</v>
      </c>
      <c r="BQ109" s="1"/>
      <c r="BR109" s="1"/>
      <c r="BS109" s="1"/>
      <c r="BT109" s="1"/>
      <c r="BU109" s="1"/>
      <c r="BV109" s="1"/>
      <c r="BW109" s="1"/>
      <c r="BX109" s="1">
        <v>0</v>
      </c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>
        <v>0</v>
      </c>
    </row>
    <row r="111" spans="1:206" x14ac:dyDescent="0.2">
      <c r="A111" s="2">
        <v>52</v>
      </c>
      <c r="B111" s="2">
        <f t="shared" ref="B111:G111" si="106">B116</f>
        <v>1</v>
      </c>
      <c r="C111" s="2">
        <f t="shared" si="106"/>
        <v>4</v>
      </c>
      <c r="D111" s="2">
        <f t="shared" si="106"/>
        <v>109</v>
      </c>
      <c r="E111" s="2">
        <f t="shared" si="106"/>
        <v>0</v>
      </c>
      <c r="F111" s="2" t="str">
        <f t="shared" si="106"/>
        <v>Новый раздел</v>
      </c>
      <c r="G111" s="2" t="str">
        <f t="shared" si="106"/>
        <v>Пусконаладочные работы</v>
      </c>
      <c r="H111" s="2"/>
      <c r="I111" s="2"/>
      <c r="J111" s="2"/>
      <c r="K111" s="2"/>
      <c r="L111" s="2"/>
      <c r="M111" s="2"/>
      <c r="N111" s="2"/>
      <c r="O111" s="2">
        <f t="shared" ref="O111:AT111" si="107">O116</f>
        <v>20454.46</v>
      </c>
      <c r="P111" s="2">
        <f t="shared" si="107"/>
        <v>510.54</v>
      </c>
      <c r="Q111" s="2">
        <f t="shared" si="107"/>
        <v>18363.87</v>
      </c>
      <c r="R111" s="2">
        <f t="shared" si="107"/>
        <v>6824.11</v>
      </c>
      <c r="S111" s="2">
        <f t="shared" si="107"/>
        <v>1580.05</v>
      </c>
      <c r="T111" s="2">
        <f t="shared" si="107"/>
        <v>0</v>
      </c>
      <c r="U111" s="2">
        <f t="shared" si="107"/>
        <v>6.4019999999999992</v>
      </c>
      <c r="V111" s="2">
        <f t="shared" si="107"/>
        <v>0</v>
      </c>
      <c r="W111" s="2">
        <f t="shared" si="107"/>
        <v>0</v>
      </c>
      <c r="X111" s="2">
        <f t="shared" si="107"/>
        <v>1422.05</v>
      </c>
      <c r="Y111" s="2">
        <f t="shared" si="107"/>
        <v>679.42</v>
      </c>
      <c r="Z111" s="2">
        <f t="shared" si="107"/>
        <v>0</v>
      </c>
      <c r="AA111" s="2">
        <f t="shared" si="107"/>
        <v>0</v>
      </c>
      <c r="AB111" s="2">
        <f t="shared" si="107"/>
        <v>20454.46</v>
      </c>
      <c r="AC111" s="2">
        <f t="shared" si="107"/>
        <v>510.54</v>
      </c>
      <c r="AD111" s="2">
        <f t="shared" si="107"/>
        <v>18363.87</v>
      </c>
      <c r="AE111" s="2">
        <f t="shared" si="107"/>
        <v>6824.11</v>
      </c>
      <c r="AF111" s="2">
        <f t="shared" si="107"/>
        <v>1580.05</v>
      </c>
      <c r="AG111" s="2">
        <f t="shared" si="107"/>
        <v>0</v>
      </c>
      <c r="AH111" s="2">
        <f t="shared" si="107"/>
        <v>6.4019999999999992</v>
      </c>
      <c r="AI111" s="2">
        <f t="shared" si="107"/>
        <v>0</v>
      </c>
      <c r="AJ111" s="2">
        <f t="shared" si="107"/>
        <v>0</v>
      </c>
      <c r="AK111" s="2">
        <f t="shared" si="107"/>
        <v>1422.05</v>
      </c>
      <c r="AL111" s="2">
        <f t="shared" si="107"/>
        <v>679.42</v>
      </c>
      <c r="AM111" s="2">
        <f t="shared" si="107"/>
        <v>0</v>
      </c>
      <c r="AN111" s="2">
        <f t="shared" si="107"/>
        <v>0</v>
      </c>
      <c r="AO111" s="2">
        <f t="shared" si="107"/>
        <v>0</v>
      </c>
      <c r="AP111" s="2">
        <f t="shared" si="107"/>
        <v>0</v>
      </c>
      <c r="AQ111" s="2">
        <f t="shared" si="107"/>
        <v>0</v>
      </c>
      <c r="AR111" s="2">
        <f t="shared" si="107"/>
        <v>33269.79</v>
      </c>
      <c r="AS111" s="2">
        <f t="shared" si="107"/>
        <v>24613.360000000001</v>
      </c>
      <c r="AT111" s="2">
        <f t="shared" si="107"/>
        <v>8656.43</v>
      </c>
      <c r="AU111" s="2">
        <f t="shared" ref="AU111:BZ111" si="108">AU116</f>
        <v>0</v>
      </c>
      <c r="AV111" s="2">
        <f t="shared" si="108"/>
        <v>510.54</v>
      </c>
      <c r="AW111" s="2">
        <f t="shared" si="108"/>
        <v>510.54</v>
      </c>
      <c r="AX111" s="2">
        <f t="shared" si="108"/>
        <v>0</v>
      </c>
      <c r="AY111" s="2">
        <f t="shared" si="108"/>
        <v>510.54</v>
      </c>
      <c r="AZ111" s="2">
        <f t="shared" si="108"/>
        <v>0</v>
      </c>
      <c r="BA111" s="2">
        <f t="shared" si="108"/>
        <v>0</v>
      </c>
      <c r="BB111" s="2">
        <f t="shared" si="108"/>
        <v>0</v>
      </c>
      <c r="BC111" s="2">
        <f t="shared" si="108"/>
        <v>0</v>
      </c>
      <c r="BD111" s="2">
        <f t="shared" si="108"/>
        <v>0</v>
      </c>
      <c r="BE111" s="2">
        <f t="shared" si="108"/>
        <v>0</v>
      </c>
      <c r="BF111" s="2">
        <f t="shared" si="108"/>
        <v>0</v>
      </c>
      <c r="BG111" s="2">
        <f t="shared" si="108"/>
        <v>0</v>
      </c>
      <c r="BH111" s="2">
        <f t="shared" si="108"/>
        <v>0</v>
      </c>
      <c r="BI111" s="2">
        <f t="shared" si="108"/>
        <v>0</v>
      </c>
      <c r="BJ111" s="2">
        <f t="shared" si="108"/>
        <v>0</v>
      </c>
      <c r="BK111" s="2">
        <f t="shared" si="108"/>
        <v>0</v>
      </c>
      <c r="BL111" s="2">
        <f t="shared" si="108"/>
        <v>0</v>
      </c>
      <c r="BM111" s="2">
        <f t="shared" si="108"/>
        <v>0</v>
      </c>
      <c r="BN111" s="2">
        <f t="shared" si="108"/>
        <v>0</v>
      </c>
      <c r="BO111" s="2">
        <f t="shared" si="108"/>
        <v>0</v>
      </c>
      <c r="BP111" s="2">
        <f t="shared" si="108"/>
        <v>0</v>
      </c>
      <c r="BQ111" s="2">
        <f t="shared" si="108"/>
        <v>0</v>
      </c>
      <c r="BR111" s="2">
        <f t="shared" si="108"/>
        <v>0</v>
      </c>
      <c r="BS111" s="2">
        <f t="shared" si="108"/>
        <v>0</v>
      </c>
      <c r="BT111" s="2">
        <f t="shared" si="108"/>
        <v>0</v>
      </c>
      <c r="BU111" s="2">
        <f t="shared" si="108"/>
        <v>0</v>
      </c>
      <c r="BV111" s="2">
        <f t="shared" si="108"/>
        <v>0</v>
      </c>
      <c r="BW111" s="2">
        <f t="shared" si="108"/>
        <v>0</v>
      </c>
      <c r="BX111" s="2">
        <f t="shared" si="108"/>
        <v>0</v>
      </c>
      <c r="BY111" s="2">
        <f t="shared" si="108"/>
        <v>0</v>
      </c>
      <c r="BZ111" s="2">
        <f t="shared" si="108"/>
        <v>0</v>
      </c>
      <c r="CA111" s="2">
        <f t="shared" ref="CA111:DF111" si="109">CA116</f>
        <v>33269.79</v>
      </c>
      <c r="CB111" s="2">
        <f t="shared" si="109"/>
        <v>24613.360000000001</v>
      </c>
      <c r="CC111" s="2">
        <f t="shared" si="109"/>
        <v>8656.43</v>
      </c>
      <c r="CD111" s="2">
        <f t="shared" si="109"/>
        <v>0</v>
      </c>
      <c r="CE111" s="2">
        <f t="shared" si="109"/>
        <v>510.54</v>
      </c>
      <c r="CF111" s="2">
        <f t="shared" si="109"/>
        <v>510.54</v>
      </c>
      <c r="CG111" s="2">
        <f t="shared" si="109"/>
        <v>0</v>
      </c>
      <c r="CH111" s="2">
        <f t="shared" si="109"/>
        <v>510.54</v>
      </c>
      <c r="CI111" s="2">
        <f t="shared" si="109"/>
        <v>0</v>
      </c>
      <c r="CJ111" s="2">
        <f t="shared" si="109"/>
        <v>0</v>
      </c>
      <c r="CK111" s="2">
        <f t="shared" si="109"/>
        <v>0</v>
      </c>
      <c r="CL111" s="2">
        <f t="shared" si="109"/>
        <v>0</v>
      </c>
      <c r="CM111" s="2">
        <f t="shared" si="109"/>
        <v>0</v>
      </c>
      <c r="CN111" s="2">
        <f t="shared" si="109"/>
        <v>0</v>
      </c>
      <c r="CO111" s="2">
        <f t="shared" si="109"/>
        <v>0</v>
      </c>
      <c r="CP111" s="2">
        <f t="shared" si="109"/>
        <v>0</v>
      </c>
      <c r="CQ111" s="2">
        <f t="shared" si="109"/>
        <v>0</v>
      </c>
      <c r="CR111" s="2">
        <f t="shared" si="109"/>
        <v>0</v>
      </c>
      <c r="CS111" s="2">
        <f t="shared" si="109"/>
        <v>0</v>
      </c>
      <c r="CT111" s="2">
        <f t="shared" si="109"/>
        <v>0</v>
      </c>
      <c r="CU111" s="2">
        <f t="shared" si="109"/>
        <v>0</v>
      </c>
      <c r="CV111" s="2">
        <f t="shared" si="109"/>
        <v>0</v>
      </c>
      <c r="CW111" s="2">
        <f t="shared" si="109"/>
        <v>0</v>
      </c>
      <c r="CX111" s="2">
        <f t="shared" si="109"/>
        <v>0</v>
      </c>
      <c r="CY111" s="2">
        <f t="shared" si="109"/>
        <v>0</v>
      </c>
      <c r="CZ111" s="2">
        <f t="shared" si="109"/>
        <v>0</v>
      </c>
      <c r="DA111" s="2">
        <f t="shared" si="109"/>
        <v>0</v>
      </c>
      <c r="DB111" s="2">
        <f t="shared" si="109"/>
        <v>0</v>
      </c>
      <c r="DC111" s="2">
        <f t="shared" si="109"/>
        <v>0</v>
      </c>
      <c r="DD111" s="2">
        <f t="shared" si="109"/>
        <v>0</v>
      </c>
      <c r="DE111" s="2">
        <f t="shared" si="109"/>
        <v>0</v>
      </c>
      <c r="DF111" s="2">
        <f t="shared" si="109"/>
        <v>0</v>
      </c>
      <c r="DG111" s="3">
        <f t="shared" ref="DG111:EL111" si="110">DG116</f>
        <v>0</v>
      </c>
      <c r="DH111" s="3">
        <f t="shared" si="110"/>
        <v>0</v>
      </c>
      <c r="DI111" s="3">
        <f t="shared" si="110"/>
        <v>0</v>
      </c>
      <c r="DJ111" s="3">
        <f t="shared" si="110"/>
        <v>0</v>
      </c>
      <c r="DK111" s="3">
        <f t="shared" si="110"/>
        <v>0</v>
      </c>
      <c r="DL111" s="3">
        <f t="shared" si="110"/>
        <v>0</v>
      </c>
      <c r="DM111" s="3">
        <f t="shared" si="110"/>
        <v>0</v>
      </c>
      <c r="DN111" s="3">
        <f t="shared" si="110"/>
        <v>0</v>
      </c>
      <c r="DO111" s="3">
        <f t="shared" si="110"/>
        <v>0</v>
      </c>
      <c r="DP111" s="3">
        <f t="shared" si="110"/>
        <v>0</v>
      </c>
      <c r="DQ111" s="3">
        <f t="shared" si="110"/>
        <v>0</v>
      </c>
      <c r="DR111" s="3">
        <f t="shared" si="110"/>
        <v>0</v>
      </c>
      <c r="DS111" s="3">
        <f t="shared" si="110"/>
        <v>0</v>
      </c>
      <c r="DT111" s="3">
        <f t="shared" si="110"/>
        <v>0</v>
      </c>
      <c r="DU111" s="3">
        <f t="shared" si="110"/>
        <v>0</v>
      </c>
      <c r="DV111" s="3">
        <f t="shared" si="110"/>
        <v>0</v>
      </c>
      <c r="DW111" s="3">
        <f t="shared" si="110"/>
        <v>0</v>
      </c>
      <c r="DX111" s="3">
        <f t="shared" si="110"/>
        <v>0</v>
      </c>
      <c r="DY111" s="3">
        <f t="shared" si="110"/>
        <v>0</v>
      </c>
      <c r="DZ111" s="3">
        <f t="shared" si="110"/>
        <v>0</v>
      </c>
      <c r="EA111" s="3">
        <f t="shared" si="110"/>
        <v>0</v>
      </c>
      <c r="EB111" s="3">
        <f t="shared" si="110"/>
        <v>0</v>
      </c>
      <c r="EC111" s="3">
        <f t="shared" si="110"/>
        <v>0</v>
      </c>
      <c r="ED111" s="3">
        <f t="shared" si="110"/>
        <v>0</v>
      </c>
      <c r="EE111" s="3">
        <f t="shared" si="110"/>
        <v>0</v>
      </c>
      <c r="EF111" s="3">
        <f t="shared" si="110"/>
        <v>0</v>
      </c>
      <c r="EG111" s="3">
        <f t="shared" si="110"/>
        <v>0</v>
      </c>
      <c r="EH111" s="3">
        <f t="shared" si="110"/>
        <v>0</v>
      </c>
      <c r="EI111" s="3">
        <f t="shared" si="110"/>
        <v>0</v>
      </c>
      <c r="EJ111" s="3">
        <f t="shared" si="110"/>
        <v>0</v>
      </c>
      <c r="EK111" s="3">
        <f t="shared" si="110"/>
        <v>0</v>
      </c>
      <c r="EL111" s="3">
        <f t="shared" si="110"/>
        <v>0</v>
      </c>
      <c r="EM111" s="3">
        <f t="shared" ref="EM111:FR111" si="111">EM116</f>
        <v>0</v>
      </c>
      <c r="EN111" s="3">
        <f t="shared" si="111"/>
        <v>0</v>
      </c>
      <c r="EO111" s="3">
        <f t="shared" si="111"/>
        <v>0</v>
      </c>
      <c r="EP111" s="3">
        <f t="shared" si="111"/>
        <v>0</v>
      </c>
      <c r="EQ111" s="3">
        <f t="shared" si="111"/>
        <v>0</v>
      </c>
      <c r="ER111" s="3">
        <f t="shared" si="111"/>
        <v>0</v>
      </c>
      <c r="ES111" s="3">
        <f t="shared" si="111"/>
        <v>0</v>
      </c>
      <c r="ET111" s="3">
        <f t="shared" si="111"/>
        <v>0</v>
      </c>
      <c r="EU111" s="3">
        <f t="shared" si="111"/>
        <v>0</v>
      </c>
      <c r="EV111" s="3">
        <f t="shared" si="111"/>
        <v>0</v>
      </c>
      <c r="EW111" s="3">
        <f t="shared" si="111"/>
        <v>0</v>
      </c>
      <c r="EX111" s="3">
        <f t="shared" si="111"/>
        <v>0</v>
      </c>
      <c r="EY111" s="3">
        <f t="shared" si="111"/>
        <v>0</v>
      </c>
      <c r="EZ111" s="3">
        <f t="shared" si="111"/>
        <v>0</v>
      </c>
      <c r="FA111" s="3">
        <f t="shared" si="111"/>
        <v>0</v>
      </c>
      <c r="FB111" s="3">
        <f t="shared" si="111"/>
        <v>0</v>
      </c>
      <c r="FC111" s="3">
        <f t="shared" si="111"/>
        <v>0</v>
      </c>
      <c r="FD111" s="3">
        <f t="shared" si="111"/>
        <v>0</v>
      </c>
      <c r="FE111" s="3">
        <f t="shared" si="111"/>
        <v>0</v>
      </c>
      <c r="FF111" s="3">
        <f t="shared" si="111"/>
        <v>0</v>
      </c>
      <c r="FG111" s="3">
        <f t="shared" si="111"/>
        <v>0</v>
      </c>
      <c r="FH111" s="3">
        <f t="shared" si="111"/>
        <v>0</v>
      </c>
      <c r="FI111" s="3">
        <f t="shared" si="111"/>
        <v>0</v>
      </c>
      <c r="FJ111" s="3">
        <f t="shared" si="111"/>
        <v>0</v>
      </c>
      <c r="FK111" s="3">
        <f t="shared" si="111"/>
        <v>0</v>
      </c>
      <c r="FL111" s="3">
        <f t="shared" si="111"/>
        <v>0</v>
      </c>
      <c r="FM111" s="3">
        <f t="shared" si="111"/>
        <v>0</v>
      </c>
      <c r="FN111" s="3">
        <f t="shared" si="111"/>
        <v>0</v>
      </c>
      <c r="FO111" s="3">
        <f t="shared" si="111"/>
        <v>0</v>
      </c>
      <c r="FP111" s="3">
        <f t="shared" si="111"/>
        <v>0</v>
      </c>
      <c r="FQ111" s="3">
        <f t="shared" si="111"/>
        <v>0</v>
      </c>
      <c r="FR111" s="3">
        <f t="shared" si="111"/>
        <v>0</v>
      </c>
      <c r="FS111" s="3">
        <f t="shared" ref="FS111:GX111" si="112">FS116</f>
        <v>0</v>
      </c>
      <c r="FT111" s="3">
        <f t="shared" si="112"/>
        <v>0</v>
      </c>
      <c r="FU111" s="3">
        <f t="shared" si="112"/>
        <v>0</v>
      </c>
      <c r="FV111" s="3">
        <f t="shared" si="112"/>
        <v>0</v>
      </c>
      <c r="FW111" s="3">
        <f t="shared" si="112"/>
        <v>0</v>
      </c>
      <c r="FX111" s="3">
        <f t="shared" si="112"/>
        <v>0</v>
      </c>
      <c r="FY111" s="3">
        <f t="shared" si="112"/>
        <v>0</v>
      </c>
      <c r="FZ111" s="3">
        <f t="shared" si="112"/>
        <v>0</v>
      </c>
      <c r="GA111" s="3">
        <f t="shared" si="112"/>
        <v>0</v>
      </c>
      <c r="GB111" s="3">
        <f t="shared" si="112"/>
        <v>0</v>
      </c>
      <c r="GC111" s="3">
        <f t="shared" si="112"/>
        <v>0</v>
      </c>
      <c r="GD111" s="3">
        <f t="shared" si="112"/>
        <v>0</v>
      </c>
      <c r="GE111" s="3">
        <f t="shared" si="112"/>
        <v>0</v>
      </c>
      <c r="GF111" s="3">
        <f t="shared" si="112"/>
        <v>0</v>
      </c>
      <c r="GG111" s="3">
        <f t="shared" si="112"/>
        <v>0</v>
      </c>
      <c r="GH111" s="3">
        <f t="shared" si="112"/>
        <v>0</v>
      </c>
      <c r="GI111" s="3">
        <f t="shared" si="112"/>
        <v>0</v>
      </c>
      <c r="GJ111" s="3">
        <f t="shared" si="112"/>
        <v>0</v>
      </c>
      <c r="GK111" s="3">
        <f t="shared" si="112"/>
        <v>0</v>
      </c>
      <c r="GL111" s="3">
        <f t="shared" si="112"/>
        <v>0</v>
      </c>
      <c r="GM111" s="3">
        <f t="shared" si="112"/>
        <v>0</v>
      </c>
      <c r="GN111" s="3">
        <f t="shared" si="112"/>
        <v>0</v>
      </c>
      <c r="GO111" s="3">
        <f t="shared" si="112"/>
        <v>0</v>
      </c>
      <c r="GP111" s="3">
        <f t="shared" si="112"/>
        <v>0</v>
      </c>
      <c r="GQ111" s="3">
        <f t="shared" si="112"/>
        <v>0</v>
      </c>
      <c r="GR111" s="3">
        <f t="shared" si="112"/>
        <v>0</v>
      </c>
      <c r="GS111" s="3">
        <f t="shared" si="112"/>
        <v>0</v>
      </c>
      <c r="GT111" s="3">
        <f t="shared" si="112"/>
        <v>0</v>
      </c>
      <c r="GU111" s="3">
        <f t="shared" si="112"/>
        <v>0</v>
      </c>
      <c r="GV111" s="3">
        <f t="shared" si="112"/>
        <v>0</v>
      </c>
      <c r="GW111" s="3">
        <f t="shared" si="112"/>
        <v>0</v>
      </c>
      <c r="GX111" s="3">
        <f t="shared" si="112"/>
        <v>0</v>
      </c>
    </row>
    <row r="113" spans="1:245" x14ac:dyDescent="0.2">
      <c r="A113">
        <v>17</v>
      </c>
      <c r="B113">
        <v>1</v>
      </c>
      <c r="E113" t="s">
        <v>15</v>
      </c>
      <c r="F113" t="s">
        <v>174</v>
      </c>
      <c r="G113" t="s">
        <v>175</v>
      </c>
      <c r="H113" t="s">
        <v>176</v>
      </c>
      <c r="I113">
        <v>2</v>
      </c>
      <c r="J113">
        <v>0</v>
      </c>
      <c r="O113">
        <f>ROUND(CP113,2)</f>
        <v>4910.21</v>
      </c>
      <c r="P113">
        <f>ROUND(CQ113*I113,2)</f>
        <v>510.54</v>
      </c>
      <c r="Q113">
        <f>ROUND(CR113*I113,2)</f>
        <v>2819.62</v>
      </c>
      <c r="R113">
        <f>ROUND(CS113*I113,2)</f>
        <v>1047.6099999999999</v>
      </c>
      <c r="S113">
        <f>ROUND(CT113*I113,2)</f>
        <v>1580.05</v>
      </c>
      <c r="T113">
        <f>ROUND(CU113*I113,2)</f>
        <v>0</v>
      </c>
      <c r="U113">
        <f>CV113*I113</f>
        <v>6.4019999999999992</v>
      </c>
      <c r="V113">
        <f>CW113*I113</f>
        <v>0</v>
      </c>
      <c r="W113">
        <f>ROUND(CX113*I113,2)</f>
        <v>0</v>
      </c>
      <c r="X113">
        <f>ROUND(CY113,2)</f>
        <v>1422.05</v>
      </c>
      <c r="Y113">
        <f>ROUND(CZ113,2)</f>
        <v>679.42</v>
      </c>
      <c r="AA113">
        <v>35678934</v>
      </c>
      <c r="AB113">
        <f>ROUND((AC113+AD113+AF113),6)</f>
        <v>213.69</v>
      </c>
      <c r="AC113">
        <f t="shared" ref="AC113:AF114" si="113">ROUND((ES113),6)</f>
        <v>47.04</v>
      </c>
      <c r="AD113">
        <f t="shared" si="113"/>
        <v>130.94999999999999</v>
      </c>
      <c r="AE113">
        <f t="shared" si="113"/>
        <v>23.67</v>
      </c>
      <c r="AF113">
        <f t="shared" si="113"/>
        <v>35.700000000000003</v>
      </c>
      <c r="AG113">
        <f>ROUND((AP113),6)</f>
        <v>0</v>
      </c>
      <c r="AH113">
        <f>(EW113)</f>
        <v>3</v>
      </c>
      <c r="AI113">
        <f>(EX113)</f>
        <v>0</v>
      </c>
      <c r="AJ113">
        <f>(AS113)</f>
        <v>0</v>
      </c>
      <c r="AK113">
        <v>213.69</v>
      </c>
      <c r="AL113">
        <v>47.04</v>
      </c>
      <c r="AM113">
        <v>130.94999999999999</v>
      </c>
      <c r="AN113">
        <v>23.67</v>
      </c>
      <c r="AO113">
        <v>35.700000000000003</v>
      </c>
      <c r="AP113">
        <v>0</v>
      </c>
      <c r="AQ113">
        <v>3</v>
      </c>
      <c r="AR113">
        <v>0</v>
      </c>
      <c r="AS113">
        <v>0</v>
      </c>
      <c r="AT113">
        <v>90</v>
      </c>
      <c r="AU113">
        <v>43</v>
      </c>
      <c r="AV113">
        <v>1.0669999999999999</v>
      </c>
      <c r="AW113">
        <v>1.081</v>
      </c>
      <c r="AZ113">
        <v>1</v>
      </c>
      <c r="BA113">
        <v>20.74</v>
      </c>
      <c r="BB113">
        <v>10.09</v>
      </c>
      <c r="BC113">
        <v>5.0199999999999996</v>
      </c>
      <c r="BD113" t="s">
        <v>3</v>
      </c>
      <c r="BE113" t="s">
        <v>3</v>
      </c>
      <c r="BF113" t="s">
        <v>3</v>
      </c>
      <c r="BG113" t="s">
        <v>3</v>
      </c>
      <c r="BH113">
        <v>0</v>
      </c>
      <c r="BI113">
        <v>2</v>
      </c>
      <c r="BJ113" t="s">
        <v>177</v>
      </c>
      <c r="BM113">
        <v>337</v>
      </c>
      <c r="BN113">
        <v>0</v>
      </c>
      <c r="BO113" t="s">
        <v>174</v>
      </c>
      <c r="BP113">
        <v>1</v>
      </c>
      <c r="BQ113">
        <v>40</v>
      </c>
      <c r="BR113">
        <v>0</v>
      </c>
      <c r="BS113">
        <v>20.74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90</v>
      </c>
      <c r="CA113">
        <v>43</v>
      </c>
      <c r="CE113">
        <v>0</v>
      </c>
      <c r="CF113">
        <v>0</v>
      </c>
      <c r="CG113">
        <v>0</v>
      </c>
      <c r="CM113">
        <v>0</v>
      </c>
      <c r="CN113" t="s">
        <v>208</v>
      </c>
      <c r="CO113">
        <v>0</v>
      </c>
      <c r="CP113">
        <f>(P113+Q113+S113)</f>
        <v>4910.21</v>
      </c>
      <c r="CQ113">
        <f>(AC113*BC113*AW113)</f>
        <v>255.26820479999998</v>
      </c>
      <c r="CR113">
        <f>(AD113*BB113*AV113)</f>
        <v>1409.8116284999999</v>
      </c>
      <c r="CS113">
        <f>(AE113*BS113*AV113)</f>
        <v>523.80715859999998</v>
      </c>
      <c r="CT113">
        <f>(AF113*BA113*AV113)</f>
        <v>790.02600599999994</v>
      </c>
      <c r="CU113">
        <f>AG113</f>
        <v>0</v>
      </c>
      <c r="CV113">
        <f>(AH113*AV113)</f>
        <v>3.2009999999999996</v>
      </c>
      <c r="CW113">
        <f>AI113</f>
        <v>0</v>
      </c>
      <c r="CX113">
        <f>AJ113</f>
        <v>0</v>
      </c>
      <c r="CY113">
        <f>S113*(BZ113/100)</f>
        <v>1422.0450000000001</v>
      </c>
      <c r="CZ113">
        <f>S113*(CA113/100)</f>
        <v>679.42149999999992</v>
      </c>
      <c r="DC113" t="s">
        <v>3</v>
      </c>
      <c r="DD113" t="s">
        <v>3</v>
      </c>
      <c r="DE113" t="s">
        <v>3</v>
      </c>
      <c r="DF113" t="s">
        <v>3</v>
      </c>
      <c r="DG113" t="s">
        <v>3</v>
      </c>
      <c r="DH113" t="s">
        <v>3</v>
      </c>
      <c r="DI113" t="s">
        <v>3</v>
      </c>
      <c r="DJ113" t="s">
        <v>3</v>
      </c>
      <c r="DK113" t="s">
        <v>3</v>
      </c>
      <c r="DL113" t="s">
        <v>3</v>
      </c>
      <c r="DM113" t="s">
        <v>3</v>
      </c>
      <c r="DN113">
        <v>112</v>
      </c>
      <c r="DO113">
        <v>70</v>
      </c>
      <c r="DP113">
        <v>1.0669999999999999</v>
      </c>
      <c r="DQ113">
        <v>1.081</v>
      </c>
      <c r="DU113">
        <v>1013</v>
      </c>
      <c r="DV113" t="s">
        <v>176</v>
      </c>
      <c r="DW113" t="s">
        <v>176</v>
      </c>
      <c r="DX113">
        <v>1</v>
      </c>
      <c r="EE113">
        <v>35104200</v>
      </c>
      <c r="EF113">
        <v>40</v>
      </c>
      <c r="EG113" t="s">
        <v>130</v>
      </c>
      <c r="EH113">
        <v>0</v>
      </c>
      <c r="EI113" t="s">
        <v>3</v>
      </c>
      <c r="EJ113">
        <v>2</v>
      </c>
      <c r="EK113">
        <v>337</v>
      </c>
      <c r="EL113" t="s">
        <v>178</v>
      </c>
      <c r="EM113" t="s">
        <v>179</v>
      </c>
      <c r="EO113" t="s">
        <v>133</v>
      </c>
      <c r="EQ113">
        <v>0</v>
      </c>
      <c r="ER113">
        <v>213.69</v>
      </c>
      <c r="ES113">
        <v>47.04</v>
      </c>
      <c r="ET113">
        <v>130.94999999999999</v>
      </c>
      <c r="EU113">
        <v>23.67</v>
      </c>
      <c r="EV113">
        <v>35.700000000000003</v>
      </c>
      <c r="EW113">
        <v>3</v>
      </c>
      <c r="EX113">
        <v>0</v>
      </c>
      <c r="EY113">
        <v>0</v>
      </c>
      <c r="FQ113">
        <v>0</v>
      </c>
      <c r="FR113">
        <f>ROUND(IF(AND(BH113=3,BI113=3),P113,0),2)</f>
        <v>0</v>
      </c>
      <c r="FS113">
        <v>0</v>
      </c>
      <c r="FX113">
        <v>112</v>
      </c>
      <c r="FY113">
        <v>70</v>
      </c>
      <c r="GA113" t="s">
        <v>3</v>
      </c>
      <c r="GD113">
        <v>0</v>
      </c>
      <c r="GF113">
        <v>1469487879</v>
      </c>
      <c r="GG113">
        <v>2</v>
      </c>
      <c r="GH113">
        <v>1</v>
      </c>
      <c r="GI113">
        <v>2</v>
      </c>
      <c r="GJ113">
        <v>0</v>
      </c>
      <c r="GK113">
        <f>ROUND(R113*(R12)/100,2)</f>
        <v>1644.75</v>
      </c>
      <c r="GL113">
        <f>ROUND(IF(AND(BH113=3,BI113=3,FS113&lt;&gt;0),P113,0),2)</f>
        <v>0</v>
      </c>
      <c r="GM113">
        <f>ROUND(O113+X113+Y113+GK113,2)+GX113</f>
        <v>8656.43</v>
      </c>
      <c r="GN113">
        <f>IF(OR(BI113=0,BI113=1),ROUND(O113+X113+Y113+GK113,2),0)</f>
        <v>0</v>
      </c>
      <c r="GO113">
        <f>IF(BI113=2,ROUND(O113+X113+Y113+GK113,2),0)</f>
        <v>8656.43</v>
      </c>
      <c r="GP113">
        <f>IF(BI113=4,ROUND(O113+X113+Y113+GK113,2)+GX113,0)</f>
        <v>0</v>
      </c>
      <c r="GR113">
        <v>0</v>
      </c>
      <c r="GS113">
        <v>3</v>
      </c>
      <c r="GT113">
        <v>0</v>
      </c>
      <c r="GU113" t="s">
        <v>3</v>
      </c>
      <c r="GV113">
        <f>ROUND((GT113),6)</f>
        <v>0</v>
      </c>
      <c r="GW113">
        <v>1</v>
      </c>
      <c r="GX113">
        <f>ROUND(HC113*I113,2)</f>
        <v>0</v>
      </c>
      <c r="HA113">
        <v>0</v>
      </c>
      <c r="HB113">
        <v>0</v>
      </c>
      <c r="HC113">
        <f>GV113*GW113</f>
        <v>0</v>
      </c>
      <c r="IK113">
        <v>0</v>
      </c>
    </row>
    <row r="114" spans="1:245" x14ac:dyDescent="0.2">
      <c r="A114">
        <v>17</v>
      </c>
      <c r="B114">
        <v>1</v>
      </c>
      <c r="E114" t="s">
        <v>26</v>
      </c>
      <c r="F114" t="s">
        <v>180</v>
      </c>
      <c r="G114" t="s">
        <v>181</v>
      </c>
      <c r="H114" t="s">
        <v>182</v>
      </c>
      <c r="I114">
        <v>12</v>
      </c>
      <c r="J114">
        <v>0</v>
      </c>
      <c r="O114">
        <f>ROUND(CP114,2)</f>
        <v>15544.25</v>
      </c>
      <c r="P114">
        <f>ROUND(CQ114*I114,2)</f>
        <v>0</v>
      </c>
      <c r="Q114">
        <f>ROUND(CR114*I114,2)</f>
        <v>15544.25</v>
      </c>
      <c r="R114">
        <f>ROUND(CS114*I114,2)</f>
        <v>5776.5</v>
      </c>
      <c r="S114">
        <f>ROUND(CT114*I114,2)</f>
        <v>0</v>
      </c>
      <c r="T114">
        <f>ROUND(CU114*I114,2)</f>
        <v>0</v>
      </c>
      <c r="U114">
        <f>CV114*I114</f>
        <v>0</v>
      </c>
      <c r="V114">
        <f>CW114*I114</f>
        <v>0</v>
      </c>
      <c r="W114">
        <f>ROUND(CX114*I114,2)</f>
        <v>0</v>
      </c>
      <c r="X114">
        <f>ROUND(CY114,2)</f>
        <v>0</v>
      </c>
      <c r="Y114">
        <f>ROUND(CZ114,2)</f>
        <v>0</v>
      </c>
      <c r="AA114">
        <v>35678934</v>
      </c>
      <c r="AB114">
        <f>ROUND((AC114+AD114+AF114),6)</f>
        <v>128.38</v>
      </c>
      <c r="AC114">
        <f t="shared" si="113"/>
        <v>0</v>
      </c>
      <c r="AD114">
        <f t="shared" si="113"/>
        <v>128.38</v>
      </c>
      <c r="AE114">
        <f t="shared" si="113"/>
        <v>23.21</v>
      </c>
      <c r="AF114">
        <f t="shared" si="113"/>
        <v>0</v>
      </c>
      <c r="AG114">
        <f>ROUND((AP114),6)</f>
        <v>0</v>
      </c>
      <c r="AH114">
        <f>(EW114)</f>
        <v>0</v>
      </c>
      <c r="AI114">
        <f>(EX114)</f>
        <v>0</v>
      </c>
      <c r="AJ114">
        <f>(AS114)</f>
        <v>0</v>
      </c>
      <c r="AK114">
        <v>128.38</v>
      </c>
      <c r="AL114">
        <v>0</v>
      </c>
      <c r="AM114">
        <v>128.38</v>
      </c>
      <c r="AN114">
        <v>23.21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1</v>
      </c>
      <c r="AW114">
        <v>1</v>
      </c>
      <c r="AZ114">
        <v>1</v>
      </c>
      <c r="BA114">
        <v>1</v>
      </c>
      <c r="BB114">
        <v>10.09</v>
      </c>
      <c r="BC114">
        <v>1</v>
      </c>
      <c r="BD114" t="s">
        <v>3</v>
      </c>
      <c r="BE114" t="s">
        <v>3</v>
      </c>
      <c r="BF114" t="s">
        <v>3</v>
      </c>
      <c r="BG114" t="s">
        <v>3</v>
      </c>
      <c r="BH114">
        <v>2</v>
      </c>
      <c r="BI114">
        <v>1</v>
      </c>
      <c r="BJ114" t="s">
        <v>183</v>
      </c>
      <c r="BM114">
        <v>400001</v>
      </c>
      <c r="BN114">
        <v>0</v>
      </c>
      <c r="BO114" t="s">
        <v>180</v>
      </c>
      <c r="BP114">
        <v>1</v>
      </c>
      <c r="BQ114">
        <v>190</v>
      </c>
      <c r="BR114">
        <v>0</v>
      </c>
      <c r="BS114">
        <v>20.74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0</v>
      </c>
      <c r="CA114">
        <v>0</v>
      </c>
      <c r="CE114">
        <v>0</v>
      </c>
      <c r="CF114">
        <v>0</v>
      </c>
      <c r="CG114">
        <v>0</v>
      </c>
      <c r="CM114">
        <v>0</v>
      </c>
      <c r="CN114" t="s">
        <v>3</v>
      </c>
      <c r="CO114">
        <v>0</v>
      </c>
      <c r="CP114">
        <f>(P114+Q114+S114)</f>
        <v>15544.25</v>
      </c>
      <c r="CQ114">
        <f>(AC114*BC114*AW114)</f>
        <v>0</v>
      </c>
      <c r="CR114">
        <f>(AD114*BB114*AV114)</f>
        <v>1295.3542</v>
      </c>
      <c r="CS114">
        <f>(AE114*BS114*AV114)</f>
        <v>481.37539999999996</v>
      </c>
      <c r="CT114">
        <f>(AF114*BA114*AV114)</f>
        <v>0</v>
      </c>
      <c r="CU114">
        <f>AG114</f>
        <v>0</v>
      </c>
      <c r="CV114">
        <f>(AH114*AV114)</f>
        <v>0</v>
      </c>
      <c r="CW114">
        <f>AI114</f>
        <v>0</v>
      </c>
      <c r="CX114">
        <f>AJ114</f>
        <v>0</v>
      </c>
      <c r="CY114">
        <f>S114*(BZ114/100)</f>
        <v>0</v>
      </c>
      <c r="CZ114">
        <f>S114*(CA114/100)</f>
        <v>0</v>
      </c>
      <c r="DC114" t="s">
        <v>3</v>
      </c>
      <c r="DD114" t="s">
        <v>3</v>
      </c>
      <c r="DE114" t="s">
        <v>3</v>
      </c>
      <c r="DF114" t="s">
        <v>3</v>
      </c>
      <c r="DG114" t="s">
        <v>3</v>
      </c>
      <c r="DH114" t="s">
        <v>3</v>
      </c>
      <c r="DI114" t="s">
        <v>3</v>
      </c>
      <c r="DJ114" t="s">
        <v>3</v>
      </c>
      <c r="DK114" t="s">
        <v>3</v>
      </c>
      <c r="DL114" t="s">
        <v>3</v>
      </c>
      <c r="DM114" t="s">
        <v>3</v>
      </c>
      <c r="DN114">
        <v>0</v>
      </c>
      <c r="DO114">
        <v>0</v>
      </c>
      <c r="DP114">
        <v>1</v>
      </c>
      <c r="DQ114">
        <v>1</v>
      </c>
      <c r="DU114">
        <v>1011</v>
      </c>
      <c r="DV114" t="s">
        <v>182</v>
      </c>
      <c r="DW114" t="s">
        <v>182</v>
      </c>
      <c r="DX114">
        <v>1</v>
      </c>
      <c r="EE114">
        <v>35105676</v>
      </c>
      <c r="EF114">
        <v>190</v>
      </c>
      <c r="EG114" t="s">
        <v>184</v>
      </c>
      <c r="EH114">
        <v>0</v>
      </c>
      <c r="EI114" t="s">
        <v>3</v>
      </c>
      <c r="EJ114">
        <v>1</v>
      </c>
      <c r="EK114">
        <v>400001</v>
      </c>
      <c r="EL114" t="s">
        <v>185</v>
      </c>
      <c r="EM114" t="s">
        <v>186</v>
      </c>
      <c r="EO114" t="s">
        <v>3</v>
      </c>
      <c r="EQ114">
        <v>0</v>
      </c>
      <c r="ER114">
        <v>128.38</v>
      </c>
      <c r="ES114">
        <v>0</v>
      </c>
      <c r="ET114">
        <v>128.38</v>
      </c>
      <c r="EU114">
        <v>23.21</v>
      </c>
      <c r="EV114">
        <v>0</v>
      </c>
      <c r="EW114">
        <v>0</v>
      </c>
      <c r="EX114">
        <v>0</v>
      </c>
      <c r="EY114">
        <v>0</v>
      </c>
      <c r="FQ114">
        <v>0</v>
      </c>
      <c r="FR114">
        <f>ROUND(IF(AND(BH114=3,BI114=3),P114,0),2)</f>
        <v>0</v>
      </c>
      <c r="FS114">
        <v>0</v>
      </c>
      <c r="FX114">
        <v>0</v>
      </c>
      <c r="FY114">
        <v>0</v>
      </c>
      <c r="GA114" t="s">
        <v>3</v>
      </c>
      <c r="GD114">
        <v>0</v>
      </c>
      <c r="GF114">
        <v>848901054</v>
      </c>
      <c r="GG114">
        <v>2</v>
      </c>
      <c r="GH114">
        <v>1</v>
      </c>
      <c r="GI114">
        <v>2</v>
      </c>
      <c r="GJ114">
        <v>0</v>
      </c>
      <c r="GK114">
        <f>ROUND(R114*(R12)/100,2)</f>
        <v>9069.11</v>
      </c>
      <c r="GL114">
        <f>ROUND(IF(AND(BH114=3,BI114=3,FS114&lt;&gt;0),P114,0),2)</f>
        <v>0</v>
      </c>
      <c r="GM114">
        <f>ROUND(O114+X114+Y114+GK114,2)+GX114</f>
        <v>24613.360000000001</v>
      </c>
      <c r="GN114">
        <f>IF(OR(BI114=0,BI114=1),ROUND(O114+X114+Y114+GK114,2),0)</f>
        <v>24613.360000000001</v>
      </c>
      <c r="GO114">
        <f>IF(BI114=2,ROUND(O114+X114+Y114+GK114,2),0)</f>
        <v>0</v>
      </c>
      <c r="GP114">
        <f>IF(BI114=4,ROUND(O114+X114+Y114+GK114,2)+GX114,0)</f>
        <v>0</v>
      </c>
      <c r="GR114">
        <v>0</v>
      </c>
      <c r="GS114">
        <v>3</v>
      </c>
      <c r="GT114">
        <v>0</v>
      </c>
      <c r="GU114" t="s">
        <v>3</v>
      </c>
      <c r="GV114">
        <f>ROUND((GT114),6)</f>
        <v>0</v>
      </c>
      <c r="GW114">
        <v>1</v>
      </c>
      <c r="GX114">
        <f>ROUND(HC114*I114,2)</f>
        <v>0</v>
      </c>
      <c r="HA114">
        <v>0</v>
      </c>
      <c r="HB114">
        <v>0</v>
      </c>
      <c r="HC114">
        <f>GV114*GW114</f>
        <v>0</v>
      </c>
      <c r="IK114">
        <v>0</v>
      </c>
    </row>
    <row r="116" spans="1:245" x14ac:dyDescent="0.2">
      <c r="A116" s="2">
        <v>51</v>
      </c>
      <c r="B116" s="2">
        <f>B109</f>
        <v>1</v>
      </c>
      <c r="C116" s="2">
        <f>A109</f>
        <v>4</v>
      </c>
      <c r="D116" s="2">
        <f>ROW(A109)</f>
        <v>109</v>
      </c>
      <c r="E116" s="2"/>
      <c r="F116" s="2" t="str">
        <f>IF(F109&lt;&gt;"",F109,"")</f>
        <v>Новый раздел</v>
      </c>
      <c r="G116" s="2" t="str">
        <f>IF(G109&lt;&gt;"",G109,"")</f>
        <v>Пусконаладочные работы</v>
      </c>
      <c r="H116" s="2">
        <v>0</v>
      </c>
      <c r="I116" s="2"/>
      <c r="J116" s="2"/>
      <c r="K116" s="2"/>
      <c r="L116" s="2"/>
      <c r="M116" s="2"/>
      <c r="N116" s="2"/>
      <c r="O116" s="2">
        <f t="shared" ref="O116:T116" si="114">ROUND(AB116,2)</f>
        <v>20454.46</v>
      </c>
      <c r="P116" s="2">
        <f t="shared" si="114"/>
        <v>510.54</v>
      </c>
      <c r="Q116" s="2">
        <f t="shared" si="114"/>
        <v>18363.87</v>
      </c>
      <c r="R116" s="2">
        <f t="shared" si="114"/>
        <v>6824.11</v>
      </c>
      <c r="S116" s="2">
        <f t="shared" si="114"/>
        <v>1580.05</v>
      </c>
      <c r="T116" s="2">
        <f t="shared" si="114"/>
        <v>0</v>
      </c>
      <c r="U116" s="2">
        <f>AH116</f>
        <v>6.4019999999999992</v>
      </c>
      <c r="V116" s="2">
        <f>AI116</f>
        <v>0</v>
      </c>
      <c r="W116" s="2">
        <f>ROUND(AJ116,2)</f>
        <v>0</v>
      </c>
      <c r="X116" s="2">
        <f>ROUND(AK116,2)</f>
        <v>1422.05</v>
      </c>
      <c r="Y116" s="2">
        <f>ROUND(AL116,2)</f>
        <v>679.42</v>
      </c>
      <c r="Z116" s="2"/>
      <c r="AA116" s="2"/>
      <c r="AB116" s="2">
        <f>ROUND(SUMIF(AA113:AA114,"=35678934",O113:O114),2)</f>
        <v>20454.46</v>
      </c>
      <c r="AC116" s="2">
        <f>ROUND(SUMIF(AA113:AA114,"=35678934",P113:P114),2)</f>
        <v>510.54</v>
      </c>
      <c r="AD116" s="2">
        <f>ROUND(SUMIF(AA113:AA114,"=35678934",Q113:Q114),2)</f>
        <v>18363.87</v>
      </c>
      <c r="AE116" s="2">
        <f>ROUND(SUMIF(AA113:AA114,"=35678934",R113:R114),2)</f>
        <v>6824.11</v>
      </c>
      <c r="AF116" s="2">
        <f>ROUND(SUMIF(AA113:AA114,"=35678934",S113:S114),2)</f>
        <v>1580.05</v>
      </c>
      <c r="AG116" s="2">
        <f>ROUND(SUMIF(AA113:AA114,"=35678934",T113:T114),2)</f>
        <v>0</v>
      </c>
      <c r="AH116" s="2">
        <f>SUMIF(AA113:AA114,"=35678934",U113:U114)</f>
        <v>6.4019999999999992</v>
      </c>
      <c r="AI116" s="2">
        <f>SUMIF(AA113:AA114,"=35678934",V113:V114)</f>
        <v>0</v>
      </c>
      <c r="AJ116" s="2">
        <f>ROUND(SUMIF(AA113:AA114,"=35678934",W113:W114),2)</f>
        <v>0</v>
      </c>
      <c r="AK116" s="2">
        <f>ROUND(SUMIF(AA113:AA114,"=35678934",X113:X114),2)</f>
        <v>1422.05</v>
      </c>
      <c r="AL116" s="2">
        <f>ROUND(SUMIF(AA113:AA114,"=35678934",Y113:Y114),2)</f>
        <v>679.42</v>
      </c>
      <c r="AM116" s="2"/>
      <c r="AN116" s="2"/>
      <c r="AO116" s="2">
        <f t="shared" ref="AO116:BC116" si="115">ROUND(BX116,2)</f>
        <v>0</v>
      </c>
      <c r="AP116" s="2">
        <f t="shared" si="115"/>
        <v>0</v>
      </c>
      <c r="AQ116" s="2">
        <f t="shared" si="115"/>
        <v>0</v>
      </c>
      <c r="AR116" s="2">
        <f t="shared" si="115"/>
        <v>33269.79</v>
      </c>
      <c r="AS116" s="2">
        <f t="shared" si="115"/>
        <v>24613.360000000001</v>
      </c>
      <c r="AT116" s="2">
        <f t="shared" si="115"/>
        <v>8656.43</v>
      </c>
      <c r="AU116" s="2">
        <f t="shared" si="115"/>
        <v>0</v>
      </c>
      <c r="AV116" s="2">
        <f t="shared" si="115"/>
        <v>510.54</v>
      </c>
      <c r="AW116" s="2">
        <f t="shared" si="115"/>
        <v>510.54</v>
      </c>
      <c r="AX116" s="2">
        <f t="shared" si="115"/>
        <v>0</v>
      </c>
      <c r="AY116" s="2">
        <f t="shared" si="115"/>
        <v>510.54</v>
      </c>
      <c r="AZ116" s="2">
        <f t="shared" si="115"/>
        <v>0</v>
      </c>
      <c r="BA116" s="2">
        <f t="shared" si="115"/>
        <v>0</v>
      </c>
      <c r="BB116" s="2">
        <f t="shared" si="115"/>
        <v>0</v>
      </c>
      <c r="BC116" s="2">
        <f t="shared" si="115"/>
        <v>0</v>
      </c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>
        <f>ROUND(SUMIF(AA113:AA114,"=35678934",FQ113:FQ114),2)</f>
        <v>0</v>
      </c>
      <c r="BY116" s="2">
        <f>ROUND(SUMIF(AA113:AA114,"=35678934",FR113:FR114),2)</f>
        <v>0</v>
      </c>
      <c r="BZ116" s="2">
        <f>ROUND(SUMIF(AA113:AA114,"=35678934",GL113:GL114),2)</f>
        <v>0</v>
      </c>
      <c r="CA116" s="2">
        <f>ROUND(SUMIF(AA113:AA114,"=35678934",GM113:GM114),2)</f>
        <v>33269.79</v>
      </c>
      <c r="CB116" s="2">
        <f>ROUND(SUMIF(AA113:AA114,"=35678934",GN113:GN114),2)</f>
        <v>24613.360000000001</v>
      </c>
      <c r="CC116" s="2">
        <f>ROUND(SUMIF(AA113:AA114,"=35678934",GO113:GO114),2)</f>
        <v>8656.43</v>
      </c>
      <c r="CD116" s="2">
        <f>ROUND(SUMIF(AA113:AA114,"=35678934",GP113:GP114),2)</f>
        <v>0</v>
      </c>
      <c r="CE116" s="2">
        <f>AC116-BX116</f>
        <v>510.54</v>
      </c>
      <c r="CF116" s="2">
        <f>AC116-BY116</f>
        <v>510.54</v>
      </c>
      <c r="CG116" s="2">
        <f>BX116-BZ116</f>
        <v>0</v>
      </c>
      <c r="CH116" s="2">
        <f>AC116-BX116-BY116+BZ116</f>
        <v>510.54</v>
      </c>
      <c r="CI116" s="2">
        <f>BY116-BZ116</f>
        <v>0</v>
      </c>
      <c r="CJ116" s="2">
        <f>ROUND(SUMIF(AA113:AA114,"=35678934",GX113:GX114),2)</f>
        <v>0</v>
      </c>
      <c r="CK116" s="2">
        <f>ROUND(SUMIF(AA113:AA114,"=35678934",GY113:GY114),2)</f>
        <v>0</v>
      </c>
      <c r="CL116" s="2">
        <f>ROUND(SUMIF(AA113:AA114,"=35678934",GZ113:GZ114),2)</f>
        <v>0</v>
      </c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  <c r="EN116" s="3"/>
      <c r="EO116" s="3"/>
      <c r="EP116" s="3"/>
      <c r="EQ116" s="3"/>
      <c r="ER116" s="3"/>
      <c r="ES116" s="3"/>
      <c r="ET116" s="3"/>
      <c r="EU116" s="3"/>
      <c r="EV116" s="3"/>
      <c r="EW116" s="3"/>
      <c r="EX116" s="3"/>
      <c r="EY116" s="3"/>
      <c r="EZ116" s="3"/>
      <c r="FA116" s="3"/>
      <c r="FB116" s="3"/>
      <c r="FC116" s="3"/>
      <c r="FD116" s="3"/>
      <c r="FE116" s="3"/>
      <c r="FF116" s="3"/>
      <c r="FG116" s="3"/>
      <c r="FH116" s="3"/>
      <c r="FI116" s="3"/>
      <c r="FJ116" s="3"/>
      <c r="FK116" s="3"/>
      <c r="FL116" s="3"/>
      <c r="FM116" s="3"/>
      <c r="FN116" s="3"/>
      <c r="FO116" s="3"/>
      <c r="FP116" s="3"/>
      <c r="FQ116" s="3"/>
      <c r="FR116" s="3"/>
      <c r="FS116" s="3"/>
      <c r="FT116" s="3"/>
      <c r="FU116" s="3"/>
      <c r="FV116" s="3"/>
      <c r="FW116" s="3"/>
      <c r="FX116" s="3"/>
      <c r="FY116" s="3"/>
      <c r="FZ116" s="3"/>
      <c r="GA116" s="3"/>
      <c r="GB116" s="3"/>
      <c r="GC116" s="3"/>
      <c r="GD116" s="3"/>
      <c r="GE116" s="3"/>
      <c r="GF116" s="3"/>
      <c r="GG116" s="3"/>
      <c r="GH116" s="3"/>
      <c r="GI116" s="3"/>
      <c r="GJ116" s="3"/>
      <c r="GK116" s="3"/>
      <c r="GL116" s="3"/>
      <c r="GM116" s="3"/>
      <c r="GN116" s="3"/>
      <c r="GO116" s="3"/>
      <c r="GP116" s="3"/>
      <c r="GQ116" s="3"/>
      <c r="GR116" s="3"/>
      <c r="GS116" s="3"/>
      <c r="GT116" s="3"/>
      <c r="GU116" s="3"/>
      <c r="GV116" s="3"/>
      <c r="GW116" s="3"/>
      <c r="GX116" s="3">
        <v>0</v>
      </c>
    </row>
    <row r="118" spans="1:245" x14ac:dyDescent="0.2">
      <c r="A118" s="4">
        <v>50</v>
      </c>
      <c r="B118" s="4">
        <v>0</v>
      </c>
      <c r="C118" s="4">
        <v>0</v>
      </c>
      <c r="D118" s="4">
        <v>1</v>
      </c>
      <c r="E118" s="4">
        <v>201</v>
      </c>
      <c r="F118" s="4">
        <f>ROUND(Source!O116,O118)</f>
        <v>20454.46</v>
      </c>
      <c r="G118" s="4" t="s">
        <v>73</v>
      </c>
      <c r="H118" s="4" t="s">
        <v>74</v>
      </c>
      <c r="I118" s="4"/>
      <c r="J118" s="4"/>
      <c r="K118" s="4">
        <v>201</v>
      </c>
      <c r="L118" s="4">
        <v>1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/>
    </row>
    <row r="119" spans="1:245" x14ac:dyDescent="0.2">
      <c r="A119" s="4">
        <v>50</v>
      </c>
      <c r="B119" s="4">
        <v>0</v>
      </c>
      <c r="C119" s="4">
        <v>0</v>
      </c>
      <c r="D119" s="4">
        <v>1</v>
      </c>
      <c r="E119" s="4">
        <v>202</v>
      </c>
      <c r="F119" s="4">
        <f>ROUND(Source!P116,O119)</f>
        <v>510.54</v>
      </c>
      <c r="G119" s="4" t="s">
        <v>75</v>
      </c>
      <c r="H119" s="4" t="s">
        <v>76</v>
      </c>
      <c r="I119" s="4"/>
      <c r="J119" s="4"/>
      <c r="K119" s="4">
        <v>202</v>
      </c>
      <c r="L119" s="4">
        <v>2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/>
    </row>
    <row r="120" spans="1:245" x14ac:dyDescent="0.2">
      <c r="A120" s="4">
        <v>50</v>
      </c>
      <c r="B120" s="4">
        <v>0</v>
      </c>
      <c r="C120" s="4">
        <v>0</v>
      </c>
      <c r="D120" s="4">
        <v>1</v>
      </c>
      <c r="E120" s="4">
        <v>222</v>
      </c>
      <c r="F120" s="4">
        <f>ROUND(Source!AO116,O120)</f>
        <v>0</v>
      </c>
      <c r="G120" s="4" t="s">
        <v>77</v>
      </c>
      <c r="H120" s="4" t="s">
        <v>78</v>
      </c>
      <c r="I120" s="4"/>
      <c r="J120" s="4"/>
      <c r="K120" s="4">
        <v>222</v>
      </c>
      <c r="L120" s="4">
        <v>3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/>
    </row>
    <row r="121" spans="1:245" x14ac:dyDescent="0.2">
      <c r="A121" s="4">
        <v>50</v>
      </c>
      <c r="B121" s="4">
        <v>0</v>
      </c>
      <c r="C121" s="4">
        <v>0</v>
      </c>
      <c r="D121" s="4">
        <v>1</v>
      </c>
      <c r="E121" s="4">
        <v>225</v>
      </c>
      <c r="F121" s="4">
        <f>ROUND(Source!AV116,O121)</f>
        <v>510.54</v>
      </c>
      <c r="G121" s="4" t="s">
        <v>79</v>
      </c>
      <c r="H121" s="4" t="s">
        <v>80</v>
      </c>
      <c r="I121" s="4"/>
      <c r="J121" s="4"/>
      <c r="K121" s="4">
        <v>225</v>
      </c>
      <c r="L121" s="4">
        <v>4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/>
    </row>
    <row r="122" spans="1:245" x14ac:dyDescent="0.2">
      <c r="A122" s="4">
        <v>50</v>
      </c>
      <c r="B122" s="4">
        <v>0</v>
      </c>
      <c r="C122" s="4">
        <v>0</v>
      </c>
      <c r="D122" s="4">
        <v>1</v>
      </c>
      <c r="E122" s="4">
        <v>226</v>
      </c>
      <c r="F122" s="4">
        <f>ROUND(Source!AW116,O122)</f>
        <v>510.54</v>
      </c>
      <c r="G122" s="4" t="s">
        <v>81</v>
      </c>
      <c r="H122" s="4" t="s">
        <v>82</v>
      </c>
      <c r="I122" s="4"/>
      <c r="J122" s="4"/>
      <c r="K122" s="4">
        <v>226</v>
      </c>
      <c r="L122" s="4">
        <v>5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/>
    </row>
    <row r="123" spans="1:245" x14ac:dyDescent="0.2">
      <c r="A123" s="4">
        <v>50</v>
      </c>
      <c r="B123" s="4">
        <v>0</v>
      </c>
      <c r="C123" s="4">
        <v>0</v>
      </c>
      <c r="D123" s="4">
        <v>1</v>
      </c>
      <c r="E123" s="4">
        <v>227</v>
      </c>
      <c r="F123" s="4">
        <f>ROUND(Source!AX116,O123)</f>
        <v>0</v>
      </c>
      <c r="G123" s="4" t="s">
        <v>83</v>
      </c>
      <c r="H123" s="4" t="s">
        <v>84</v>
      </c>
      <c r="I123" s="4"/>
      <c r="J123" s="4"/>
      <c r="K123" s="4">
        <v>227</v>
      </c>
      <c r="L123" s="4">
        <v>6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/>
    </row>
    <row r="124" spans="1:245" x14ac:dyDescent="0.2">
      <c r="A124" s="4">
        <v>50</v>
      </c>
      <c r="B124" s="4">
        <v>0</v>
      </c>
      <c r="C124" s="4">
        <v>0</v>
      </c>
      <c r="D124" s="4">
        <v>1</v>
      </c>
      <c r="E124" s="4">
        <v>228</v>
      </c>
      <c r="F124" s="4">
        <f>ROUND(Source!AY116,O124)</f>
        <v>510.54</v>
      </c>
      <c r="G124" s="4" t="s">
        <v>85</v>
      </c>
      <c r="H124" s="4" t="s">
        <v>86</v>
      </c>
      <c r="I124" s="4"/>
      <c r="J124" s="4"/>
      <c r="K124" s="4">
        <v>228</v>
      </c>
      <c r="L124" s="4">
        <v>7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/>
    </row>
    <row r="125" spans="1:245" x14ac:dyDescent="0.2">
      <c r="A125" s="4">
        <v>50</v>
      </c>
      <c r="B125" s="4">
        <v>0</v>
      </c>
      <c r="C125" s="4">
        <v>0</v>
      </c>
      <c r="D125" s="4">
        <v>1</v>
      </c>
      <c r="E125" s="4">
        <v>216</v>
      </c>
      <c r="F125" s="4">
        <f>ROUND(Source!AP116,O125)</f>
        <v>0</v>
      </c>
      <c r="G125" s="4" t="s">
        <v>87</v>
      </c>
      <c r="H125" s="4" t="s">
        <v>88</v>
      </c>
      <c r="I125" s="4"/>
      <c r="J125" s="4"/>
      <c r="K125" s="4">
        <v>216</v>
      </c>
      <c r="L125" s="4">
        <v>8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/>
    </row>
    <row r="126" spans="1:245" x14ac:dyDescent="0.2">
      <c r="A126" s="4">
        <v>50</v>
      </c>
      <c r="B126" s="4">
        <v>0</v>
      </c>
      <c r="C126" s="4">
        <v>0</v>
      </c>
      <c r="D126" s="4">
        <v>1</v>
      </c>
      <c r="E126" s="4">
        <v>223</v>
      </c>
      <c r="F126" s="4">
        <f>ROUND(Source!AQ116,O126)</f>
        <v>0</v>
      </c>
      <c r="G126" s="4" t="s">
        <v>89</v>
      </c>
      <c r="H126" s="4" t="s">
        <v>90</v>
      </c>
      <c r="I126" s="4"/>
      <c r="J126" s="4"/>
      <c r="K126" s="4">
        <v>223</v>
      </c>
      <c r="L126" s="4">
        <v>9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/>
    </row>
    <row r="127" spans="1:245" x14ac:dyDescent="0.2">
      <c r="A127" s="4">
        <v>50</v>
      </c>
      <c r="B127" s="4">
        <v>0</v>
      </c>
      <c r="C127" s="4">
        <v>0</v>
      </c>
      <c r="D127" s="4">
        <v>1</v>
      </c>
      <c r="E127" s="4">
        <v>229</v>
      </c>
      <c r="F127" s="4">
        <f>ROUND(Source!AZ116,O127)</f>
        <v>0</v>
      </c>
      <c r="G127" s="4" t="s">
        <v>91</v>
      </c>
      <c r="H127" s="4" t="s">
        <v>92</v>
      </c>
      <c r="I127" s="4"/>
      <c r="J127" s="4"/>
      <c r="K127" s="4">
        <v>229</v>
      </c>
      <c r="L127" s="4">
        <v>10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/>
    </row>
    <row r="128" spans="1:245" x14ac:dyDescent="0.2">
      <c r="A128" s="4">
        <v>50</v>
      </c>
      <c r="B128" s="4">
        <v>0</v>
      </c>
      <c r="C128" s="4">
        <v>0</v>
      </c>
      <c r="D128" s="4">
        <v>1</v>
      </c>
      <c r="E128" s="4">
        <v>203</v>
      </c>
      <c r="F128" s="4">
        <f>ROUND(Source!Q116,O128)</f>
        <v>18363.87</v>
      </c>
      <c r="G128" s="4" t="s">
        <v>93</v>
      </c>
      <c r="H128" s="4" t="s">
        <v>94</v>
      </c>
      <c r="I128" s="4"/>
      <c r="J128" s="4"/>
      <c r="K128" s="4">
        <v>203</v>
      </c>
      <c r="L128" s="4">
        <v>11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/>
    </row>
    <row r="129" spans="1:23" x14ac:dyDescent="0.2">
      <c r="A129" s="4">
        <v>50</v>
      </c>
      <c r="B129" s="4">
        <v>0</v>
      </c>
      <c r="C129" s="4">
        <v>0</v>
      </c>
      <c r="D129" s="4">
        <v>1</v>
      </c>
      <c r="E129" s="4">
        <v>231</v>
      </c>
      <c r="F129" s="4">
        <f>ROUND(Source!BB116,O129)</f>
        <v>0</v>
      </c>
      <c r="G129" s="4" t="s">
        <v>95</v>
      </c>
      <c r="H129" s="4" t="s">
        <v>96</v>
      </c>
      <c r="I129" s="4"/>
      <c r="J129" s="4"/>
      <c r="K129" s="4">
        <v>231</v>
      </c>
      <c r="L129" s="4">
        <v>12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/>
    </row>
    <row r="130" spans="1:23" x14ac:dyDescent="0.2">
      <c r="A130" s="4">
        <v>50</v>
      </c>
      <c r="B130" s="4">
        <v>0</v>
      </c>
      <c r="C130" s="4">
        <v>0</v>
      </c>
      <c r="D130" s="4">
        <v>1</v>
      </c>
      <c r="E130" s="4">
        <v>204</v>
      </c>
      <c r="F130" s="4">
        <f>ROUND(Source!R116,O130)</f>
        <v>6824.11</v>
      </c>
      <c r="G130" s="4" t="s">
        <v>97</v>
      </c>
      <c r="H130" s="4" t="s">
        <v>98</v>
      </c>
      <c r="I130" s="4"/>
      <c r="J130" s="4"/>
      <c r="K130" s="4">
        <v>204</v>
      </c>
      <c r="L130" s="4">
        <v>13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/>
    </row>
    <row r="131" spans="1:23" x14ac:dyDescent="0.2">
      <c r="A131" s="4">
        <v>50</v>
      </c>
      <c r="B131" s="4">
        <v>0</v>
      </c>
      <c r="C131" s="4">
        <v>0</v>
      </c>
      <c r="D131" s="4">
        <v>1</v>
      </c>
      <c r="E131" s="4">
        <v>205</v>
      </c>
      <c r="F131" s="4">
        <f>ROUND(Source!S116,O131)</f>
        <v>1580.05</v>
      </c>
      <c r="G131" s="4" t="s">
        <v>99</v>
      </c>
      <c r="H131" s="4" t="s">
        <v>100</v>
      </c>
      <c r="I131" s="4"/>
      <c r="J131" s="4"/>
      <c r="K131" s="4">
        <v>205</v>
      </c>
      <c r="L131" s="4">
        <v>14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/>
    </row>
    <row r="132" spans="1:23" x14ac:dyDescent="0.2">
      <c r="A132" s="4">
        <v>50</v>
      </c>
      <c r="B132" s="4">
        <v>0</v>
      </c>
      <c r="C132" s="4">
        <v>0</v>
      </c>
      <c r="D132" s="4">
        <v>1</v>
      </c>
      <c r="E132" s="4">
        <v>232</v>
      </c>
      <c r="F132" s="4">
        <f>ROUND(Source!BC116,O132)</f>
        <v>0</v>
      </c>
      <c r="G132" s="4" t="s">
        <v>101</v>
      </c>
      <c r="H132" s="4" t="s">
        <v>102</v>
      </c>
      <c r="I132" s="4"/>
      <c r="J132" s="4"/>
      <c r="K132" s="4">
        <v>232</v>
      </c>
      <c r="L132" s="4">
        <v>15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/>
    </row>
    <row r="133" spans="1:23" x14ac:dyDescent="0.2">
      <c r="A133" s="4">
        <v>50</v>
      </c>
      <c r="B133" s="4">
        <v>0</v>
      </c>
      <c r="C133" s="4">
        <v>0</v>
      </c>
      <c r="D133" s="4">
        <v>1</v>
      </c>
      <c r="E133" s="4">
        <v>214</v>
      </c>
      <c r="F133" s="4">
        <f>ROUND(Source!AS116,O133)</f>
        <v>24613.360000000001</v>
      </c>
      <c r="G133" s="4" t="s">
        <v>103</v>
      </c>
      <c r="H133" s="4" t="s">
        <v>104</v>
      </c>
      <c r="I133" s="4"/>
      <c r="J133" s="4"/>
      <c r="K133" s="4">
        <v>214</v>
      </c>
      <c r="L133" s="4">
        <v>16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/>
    </row>
    <row r="134" spans="1:23" x14ac:dyDescent="0.2">
      <c r="A134" s="4">
        <v>50</v>
      </c>
      <c r="B134" s="4">
        <v>0</v>
      </c>
      <c r="C134" s="4">
        <v>0</v>
      </c>
      <c r="D134" s="4">
        <v>1</v>
      </c>
      <c r="E134" s="4">
        <v>215</v>
      </c>
      <c r="F134" s="4">
        <f>ROUND(Source!AT116,O134)</f>
        <v>8656.43</v>
      </c>
      <c r="G134" s="4" t="s">
        <v>105</v>
      </c>
      <c r="H134" s="4" t="s">
        <v>106</v>
      </c>
      <c r="I134" s="4"/>
      <c r="J134" s="4"/>
      <c r="K134" s="4">
        <v>215</v>
      </c>
      <c r="L134" s="4">
        <v>17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/>
    </row>
    <row r="135" spans="1:23" x14ac:dyDescent="0.2">
      <c r="A135" s="4">
        <v>50</v>
      </c>
      <c r="B135" s="4">
        <v>0</v>
      </c>
      <c r="C135" s="4">
        <v>0</v>
      </c>
      <c r="D135" s="4">
        <v>1</v>
      </c>
      <c r="E135" s="4">
        <v>217</v>
      </c>
      <c r="F135" s="4">
        <f>ROUND(Source!AU116,O135)</f>
        <v>0</v>
      </c>
      <c r="G135" s="4" t="s">
        <v>107</v>
      </c>
      <c r="H135" s="4" t="s">
        <v>108</v>
      </c>
      <c r="I135" s="4"/>
      <c r="J135" s="4"/>
      <c r="K135" s="4">
        <v>217</v>
      </c>
      <c r="L135" s="4">
        <v>18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/>
    </row>
    <row r="136" spans="1:23" x14ac:dyDescent="0.2">
      <c r="A136" s="4">
        <v>50</v>
      </c>
      <c r="B136" s="4">
        <v>0</v>
      </c>
      <c r="C136" s="4">
        <v>0</v>
      </c>
      <c r="D136" s="4">
        <v>1</v>
      </c>
      <c r="E136" s="4">
        <v>230</v>
      </c>
      <c r="F136" s="4">
        <f>ROUND(Source!BA116,O136)</f>
        <v>0</v>
      </c>
      <c r="G136" s="4" t="s">
        <v>109</v>
      </c>
      <c r="H136" s="4" t="s">
        <v>110</v>
      </c>
      <c r="I136" s="4"/>
      <c r="J136" s="4"/>
      <c r="K136" s="4">
        <v>230</v>
      </c>
      <c r="L136" s="4">
        <v>19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/>
    </row>
    <row r="137" spans="1:23" x14ac:dyDescent="0.2">
      <c r="A137" s="4">
        <v>50</v>
      </c>
      <c r="B137" s="4">
        <v>0</v>
      </c>
      <c r="C137" s="4">
        <v>0</v>
      </c>
      <c r="D137" s="4">
        <v>1</v>
      </c>
      <c r="E137" s="4">
        <v>206</v>
      </c>
      <c r="F137" s="4">
        <f>ROUND(Source!T116,O137)</f>
        <v>0</v>
      </c>
      <c r="G137" s="4" t="s">
        <v>111</v>
      </c>
      <c r="H137" s="4" t="s">
        <v>112</v>
      </c>
      <c r="I137" s="4"/>
      <c r="J137" s="4"/>
      <c r="K137" s="4">
        <v>206</v>
      </c>
      <c r="L137" s="4">
        <v>20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/>
    </row>
    <row r="138" spans="1:23" x14ac:dyDescent="0.2">
      <c r="A138" s="4">
        <v>50</v>
      </c>
      <c r="B138" s="4">
        <v>0</v>
      </c>
      <c r="C138" s="4">
        <v>0</v>
      </c>
      <c r="D138" s="4">
        <v>1</v>
      </c>
      <c r="E138" s="4">
        <v>207</v>
      </c>
      <c r="F138" s="4">
        <f>Source!U116</f>
        <v>6.4019999999999992</v>
      </c>
      <c r="G138" s="4" t="s">
        <v>113</v>
      </c>
      <c r="H138" s="4" t="s">
        <v>114</v>
      </c>
      <c r="I138" s="4"/>
      <c r="J138" s="4"/>
      <c r="K138" s="4">
        <v>207</v>
      </c>
      <c r="L138" s="4">
        <v>21</v>
      </c>
      <c r="M138" s="4">
        <v>3</v>
      </c>
      <c r="N138" s="4" t="s">
        <v>3</v>
      </c>
      <c r="O138" s="4">
        <v>-1</v>
      </c>
      <c r="P138" s="4"/>
      <c r="Q138" s="4"/>
      <c r="R138" s="4"/>
      <c r="S138" s="4"/>
      <c r="T138" s="4"/>
      <c r="U138" s="4"/>
      <c r="V138" s="4"/>
      <c r="W138" s="4"/>
    </row>
    <row r="139" spans="1:23" x14ac:dyDescent="0.2">
      <c r="A139" s="4">
        <v>50</v>
      </c>
      <c r="B139" s="4">
        <v>0</v>
      </c>
      <c r="C139" s="4">
        <v>0</v>
      </c>
      <c r="D139" s="4">
        <v>1</v>
      </c>
      <c r="E139" s="4">
        <v>208</v>
      </c>
      <c r="F139" s="4">
        <f>Source!V116</f>
        <v>0</v>
      </c>
      <c r="G139" s="4" t="s">
        <v>115</v>
      </c>
      <c r="H139" s="4" t="s">
        <v>116</v>
      </c>
      <c r="I139" s="4"/>
      <c r="J139" s="4"/>
      <c r="K139" s="4">
        <v>208</v>
      </c>
      <c r="L139" s="4">
        <v>22</v>
      </c>
      <c r="M139" s="4">
        <v>3</v>
      </c>
      <c r="N139" s="4" t="s">
        <v>3</v>
      </c>
      <c r="O139" s="4">
        <v>-1</v>
      </c>
      <c r="P139" s="4"/>
      <c r="Q139" s="4"/>
      <c r="R139" s="4"/>
      <c r="S139" s="4"/>
      <c r="T139" s="4"/>
      <c r="U139" s="4"/>
      <c r="V139" s="4"/>
      <c r="W139" s="4"/>
    </row>
    <row r="140" spans="1:23" x14ac:dyDescent="0.2">
      <c r="A140" s="4">
        <v>50</v>
      </c>
      <c r="B140" s="4">
        <v>0</v>
      </c>
      <c r="C140" s="4">
        <v>0</v>
      </c>
      <c r="D140" s="4">
        <v>1</v>
      </c>
      <c r="E140" s="4">
        <v>209</v>
      </c>
      <c r="F140" s="4">
        <f>ROUND(Source!W116,O140)</f>
        <v>0</v>
      </c>
      <c r="G140" s="4" t="s">
        <v>117</v>
      </c>
      <c r="H140" s="4" t="s">
        <v>118</v>
      </c>
      <c r="I140" s="4"/>
      <c r="J140" s="4"/>
      <c r="K140" s="4">
        <v>209</v>
      </c>
      <c r="L140" s="4">
        <v>23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/>
    </row>
    <row r="141" spans="1:23" x14ac:dyDescent="0.2">
      <c r="A141" s="4">
        <v>50</v>
      </c>
      <c r="B141" s="4">
        <v>0</v>
      </c>
      <c r="C141" s="4">
        <v>0</v>
      </c>
      <c r="D141" s="4">
        <v>1</v>
      </c>
      <c r="E141" s="4">
        <v>210</v>
      </c>
      <c r="F141" s="4">
        <f>ROUND(Source!X116,O141)</f>
        <v>1422.05</v>
      </c>
      <c r="G141" s="4" t="s">
        <v>119</v>
      </c>
      <c r="H141" s="4" t="s">
        <v>120</v>
      </c>
      <c r="I141" s="4"/>
      <c r="J141" s="4"/>
      <c r="K141" s="4">
        <v>210</v>
      </c>
      <c r="L141" s="4">
        <v>24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/>
    </row>
    <row r="142" spans="1:23" x14ac:dyDescent="0.2">
      <c r="A142" s="4">
        <v>50</v>
      </c>
      <c r="B142" s="4">
        <v>0</v>
      </c>
      <c r="C142" s="4">
        <v>0</v>
      </c>
      <c r="D142" s="4">
        <v>1</v>
      </c>
      <c r="E142" s="4">
        <v>211</v>
      </c>
      <c r="F142" s="4">
        <f>ROUND(Source!Y116,O142)</f>
        <v>679.42</v>
      </c>
      <c r="G142" s="4" t="s">
        <v>121</v>
      </c>
      <c r="H142" s="4" t="s">
        <v>122</v>
      </c>
      <c r="I142" s="4"/>
      <c r="J142" s="4"/>
      <c r="K142" s="4">
        <v>211</v>
      </c>
      <c r="L142" s="4">
        <v>25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/>
    </row>
    <row r="143" spans="1:23" x14ac:dyDescent="0.2">
      <c r="A143" s="4">
        <v>50</v>
      </c>
      <c r="B143" s="4">
        <v>0</v>
      </c>
      <c r="C143" s="4">
        <v>0</v>
      </c>
      <c r="D143" s="4">
        <v>1</v>
      </c>
      <c r="E143" s="4">
        <v>224</v>
      </c>
      <c r="F143" s="4">
        <f>ROUND(Source!AR116,O143)</f>
        <v>33269.79</v>
      </c>
      <c r="G143" s="4" t="s">
        <v>123</v>
      </c>
      <c r="H143" s="4" t="s">
        <v>124</v>
      </c>
      <c r="I143" s="4"/>
      <c r="J143" s="4"/>
      <c r="K143" s="4">
        <v>224</v>
      </c>
      <c r="L143" s="4">
        <v>26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/>
    </row>
    <row r="145" spans="1:206" x14ac:dyDescent="0.2">
      <c r="A145" s="2">
        <v>51</v>
      </c>
      <c r="B145" s="2">
        <f>B20</f>
        <v>1</v>
      </c>
      <c r="C145" s="2">
        <f>A20</f>
        <v>3</v>
      </c>
      <c r="D145" s="2">
        <f>ROW(A20)</f>
        <v>20</v>
      </c>
      <c r="E145" s="2"/>
      <c r="F145" s="2" t="str">
        <f>IF(F20&lt;&gt;"",F20,"")</f>
        <v>Новая локальная смета</v>
      </c>
      <c r="G145" s="2" t="str">
        <f>IF(G20&lt;&gt;"",G20,"")</f>
        <v>Новая локальная смета</v>
      </c>
      <c r="H145" s="2">
        <v>0</v>
      </c>
      <c r="I145" s="2"/>
      <c r="J145" s="2"/>
      <c r="K145" s="2"/>
      <c r="L145" s="2"/>
      <c r="M145" s="2"/>
      <c r="N145" s="2"/>
      <c r="O145" s="2">
        <f t="shared" ref="O145:T145" si="116">ROUND(O37+O80+O116+AB145,2)</f>
        <v>758229.83</v>
      </c>
      <c r="P145" s="2">
        <f t="shared" si="116"/>
        <v>338688.8</v>
      </c>
      <c r="Q145" s="2">
        <f t="shared" si="116"/>
        <v>156703.28</v>
      </c>
      <c r="R145" s="2">
        <f t="shared" si="116"/>
        <v>84683.78</v>
      </c>
      <c r="S145" s="2">
        <f t="shared" si="116"/>
        <v>262837.75</v>
      </c>
      <c r="T145" s="2">
        <f t="shared" si="116"/>
        <v>0</v>
      </c>
      <c r="U145" s="2">
        <f>U37+U80+U116+AH145</f>
        <v>1127.342646674</v>
      </c>
      <c r="V145" s="2">
        <f>V37+V80+V116+AI145</f>
        <v>0</v>
      </c>
      <c r="W145" s="2">
        <f>ROUND(W37+W80+W116+AJ145,2)</f>
        <v>0</v>
      </c>
      <c r="X145" s="2">
        <f>ROUND(X37+X80+X116+AK145,2)</f>
        <v>225415.8</v>
      </c>
      <c r="Y145" s="2">
        <f>ROUND(Y37+Y80+Y116+AL145,2)</f>
        <v>109244.88</v>
      </c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>
        <f t="shared" ref="AO145:BC145" si="117">ROUND(AO37+AO80+AO116+BX145,2)</f>
        <v>0</v>
      </c>
      <c r="AP145" s="2">
        <f t="shared" si="117"/>
        <v>0</v>
      </c>
      <c r="AQ145" s="2">
        <f t="shared" si="117"/>
        <v>0</v>
      </c>
      <c r="AR145" s="2">
        <f t="shared" si="117"/>
        <v>1225844.05</v>
      </c>
      <c r="AS145" s="2">
        <f t="shared" si="117"/>
        <v>591923.18999999994</v>
      </c>
      <c r="AT145" s="2">
        <f t="shared" si="117"/>
        <v>628231.19999999995</v>
      </c>
      <c r="AU145" s="2">
        <f t="shared" si="117"/>
        <v>5689.66</v>
      </c>
      <c r="AV145" s="2">
        <f t="shared" si="117"/>
        <v>338688.8</v>
      </c>
      <c r="AW145" s="2">
        <f t="shared" si="117"/>
        <v>338688.8</v>
      </c>
      <c r="AX145" s="2">
        <f t="shared" si="117"/>
        <v>0</v>
      </c>
      <c r="AY145" s="2">
        <f t="shared" si="117"/>
        <v>338688.8</v>
      </c>
      <c r="AZ145" s="2">
        <f t="shared" si="117"/>
        <v>0</v>
      </c>
      <c r="BA145" s="2">
        <f t="shared" si="117"/>
        <v>0</v>
      </c>
      <c r="BB145" s="2">
        <f t="shared" si="117"/>
        <v>0</v>
      </c>
      <c r="BC145" s="2">
        <f t="shared" si="117"/>
        <v>0</v>
      </c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  <c r="EB145" s="3"/>
      <c r="EC145" s="3"/>
      <c r="ED145" s="3"/>
      <c r="EE145" s="3"/>
      <c r="EF145" s="3"/>
      <c r="EG145" s="3"/>
      <c r="EH145" s="3"/>
      <c r="EI145" s="3"/>
      <c r="EJ145" s="3"/>
      <c r="EK145" s="3"/>
      <c r="EL145" s="3"/>
      <c r="EM145" s="3"/>
      <c r="EN145" s="3"/>
      <c r="EO145" s="3"/>
      <c r="EP145" s="3"/>
      <c r="EQ145" s="3"/>
      <c r="ER145" s="3"/>
      <c r="ES145" s="3"/>
      <c r="ET145" s="3"/>
      <c r="EU145" s="3"/>
      <c r="EV145" s="3"/>
      <c r="EW145" s="3"/>
      <c r="EX145" s="3"/>
      <c r="EY145" s="3"/>
      <c r="EZ145" s="3"/>
      <c r="FA145" s="3"/>
      <c r="FB145" s="3"/>
      <c r="FC145" s="3"/>
      <c r="FD145" s="3"/>
      <c r="FE145" s="3"/>
      <c r="FF145" s="3"/>
      <c r="FG145" s="3"/>
      <c r="FH145" s="3"/>
      <c r="FI145" s="3"/>
      <c r="FJ145" s="3"/>
      <c r="FK145" s="3"/>
      <c r="FL145" s="3"/>
      <c r="FM145" s="3"/>
      <c r="FN145" s="3"/>
      <c r="FO145" s="3"/>
      <c r="FP145" s="3"/>
      <c r="FQ145" s="3"/>
      <c r="FR145" s="3"/>
      <c r="FS145" s="3"/>
      <c r="FT145" s="3"/>
      <c r="FU145" s="3"/>
      <c r="FV145" s="3"/>
      <c r="FW145" s="3"/>
      <c r="FX145" s="3"/>
      <c r="FY145" s="3"/>
      <c r="FZ145" s="3"/>
      <c r="GA145" s="3"/>
      <c r="GB145" s="3"/>
      <c r="GC145" s="3"/>
      <c r="GD145" s="3"/>
      <c r="GE145" s="3"/>
      <c r="GF145" s="3"/>
      <c r="GG145" s="3"/>
      <c r="GH145" s="3"/>
      <c r="GI145" s="3"/>
      <c r="GJ145" s="3"/>
      <c r="GK145" s="3"/>
      <c r="GL145" s="3"/>
      <c r="GM145" s="3"/>
      <c r="GN145" s="3"/>
      <c r="GO145" s="3"/>
      <c r="GP145" s="3"/>
      <c r="GQ145" s="3"/>
      <c r="GR145" s="3"/>
      <c r="GS145" s="3"/>
      <c r="GT145" s="3"/>
      <c r="GU145" s="3"/>
      <c r="GV145" s="3"/>
      <c r="GW145" s="3"/>
      <c r="GX145" s="3">
        <v>0</v>
      </c>
    </row>
    <row r="147" spans="1:206" x14ac:dyDescent="0.2">
      <c r="A147" s="4">
        <v>50</v>
      </c>
      <c r="B147" s="4">
        <v>0</v>
      </c>
      <c r="C147" s="4">
        <v>0</v>
      </c>
      <c r="D147" s="4">
        <v>1</v>
      </c>
      <c r="E147" s="4">
        <v>201</v>
      </c>
      <c r="F147" s="4">
        <f>ROUND(Source!O145,O147)</f>
        <v>758229.83</v>
      </c>
      <c r="G147" s="4" t="s">
        <v>73</v>
      </c>
      <c r="H147" s="4" t="s">
        <v>74</v>
      </c>
      <c r="I147" s="4"/>
      <c r="J147" s="4"/>
      <c r="K147" s="4">
        <v>201</v>
      </c>
      <c r="L147" s="4">
        <v>1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/>
    </row>
    <row r="148" spans="1:206" x14ac:dyDescent="0.2">
      <c r="A148" s="4">
        <v>50</v>
      </c>
      <c r="B148" s="4">
        <v>0</v>
      </c>
      <c r="C148" s="4">
        <v>0</v>
      </c>
      <c r="D148" s="4">
        <v>1</v>
      </c>
      <c r="E148" s="4">
        <v>202</v>
      </c>
      <c r="F148" s="4">
        <f>ROUND(Source!P145,O148)</f>
        <v>338688.8</v>
      </c>
      <c r="G148" s="4" t="s">
        <v>75</v>
      </c>
      <c r="H148" s="4" t="s">
        <v>76</v>
      </c>
      <c r="I148" s="4"/>
      <c r="J148" s="4"/>
      <c r="K148" s="4">
        <v>202</v>
      </c>
      <c r="L148" s="4">
        <v>2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/>
    </row>
    <row r="149" spans="1:206" x14ac:dyDescent="0.2">
      <c r="A149" s="4">
        <v>50</v>
      </c>
      <c r="B149" s="4">
        <v>0</v>
      </c>
      <c r="C149" s="4">
        <v>0</v>
      </c>
      <c r="D149" s="4">
        <v>1</v>
      </c>
      <c r="E149" s="4">
        <v>222</v>
      </c>
      <c r="F149" s="4">
        <f>ROUND(Source!AO145,O149)</f>
        <v>0</v>
      </c>
      <c r="G149" s="4" t="s">
        <v>77</v>
      </c>
      <c r="H149" s="4" t="s">
        <v>78</v>
      </c>
      <c r="I149" s="4"/>
      <c r="J149" s="4"/>
      <c r="K149" s="4">
        <v>222</v>
      </c>
      <c r="L149" s="4">
        <v>3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/>
    </row>
    <row r="150" spans="1:206" x14ac:dyDescent="0.2">
      <c r="A150" s="4">
        <v>50</v>
      </c>
      <c r="B150" s="4">
        <v>0</v>
      </c>
      <c r="C150" s="4">
        <v>0</v>
      </c>
      <c r="D150" s="4">
        <v>1</v>
      </c>
      <c r="E150" s="4">
        <v>225</v>
      </c>
      <c r="F150" s="4">
        <f>ROUND(Source!AV145,O150)</f>
        <v>338688.8</v>
      </c>
      <c r="G150" s="4" t="s">
        <v>79</v>
      </c>
      <c r="H150" s="4" t="s">
        <v>80</v>
      </c>
      <c r="I150" s="4"/>
      <c r="J150" s="4"/>
      <c r="K150" s="4">
        <v>225</v>
      </c>
      <c r="L150" s="4">
        <v>4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/>
    </row>
    <row r="151" spans="1:206" x14ac:dyDescent="0.2">
      <c r="A151" s="4">
        <v>50</v>
      </c>
      <c r="B151" s="4">
        <v>0</v>
      </c>
      <c r="C151" s="4">
        <v>0</v>
      </c>
      <c r="D151" s="4">
        <v>1</v>
      </c>
      <c r="E151" s="4">
        <v>226</v>
      </c>
      <c r="F151" s="4">
        <f>ROUND(Source!AW145,O151)</f>
        <v>338688.8</v>
      </c>
      <c r="G151" s="4" t="s">
        <v>81</v>
      </c>
      <c r="H151" s="4" t="s">
        <v>82</v>
      </c>
      <c r="I151" s="4"/>
      <c r="J151" s="4"/>
      <c r="K151" s="4">
        <v>226</v>
      </c>
      <c r="L151" s="4">
        <v>5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/>
    </row>
    <row r="152" spans="1:206" x14ac:dyDescent="0.2">
      <c r="A152" s="4">
        <v>50</v>
      </c>
      <c r="B152" s="4">
        <v>0</v>
      </c>
      <c r="C152" s="4">
        <v>0</v>
      </c>
      <c r="D152" s="4">
        <v>1</v>
      </c>
      <c r="E152" s="4">
        <v>227</v>
      </c>
      <c r="F152" s="4">
        <f>ROUND(Source!AX145,O152)</f>
        <v>0</v>
      </c>
      <c r="G152" s="4" t="s">
        <v>83</v>
      </c>
      <c r="H152" s="4" t="s">
        <v>84</v>
      </c>
      <c r="I152" s="4"/>
      <c r="J152" s="4"/>
      <c r="K152" s="4">
        <v>227</v>
      </c>
      <c r="L152" s="4">
        <v>6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/>
    </row>
    <row r="153" spans="1:206" x14ac:dyDescent="0.2">
      <c r="A153" s="4">
        <v>50</v>
      </c>
      <c r="B153" s="4">
        <v>0</v>
      </c>
      <c r="C153" s="4">
        <v>0</v>
      </c>
      <c r="D153" s="4">
        <v>1</v>
      </c>
      <c r="E153" s="4">
        <v>228</v>
      </c>
      <c r="F153" s="4">
        <f>ROUND(Source!AY145,O153)</f>
        <v>338688.8</v>
      </c>
      <c r="G153" s="4" t="s">
        <v>85</v>
      </c>
      <c r="H153" s="4" t="s">
        <v>86</v>
      </c>
      <c r="I153" s="4"/>
      <c r="J153" s="4"/>
      <c r="K153" s="4">
        <v>228</v>
      </c>
      <c r="L153" s="4">
        <v>7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/>
    </row>
    <row r="154" spans="1:206" x14ac:dyDescent="0.2">
      <c r="A154" s="4">
        <v>50</v>
      </c>
      <c r="B154" s="4">
        <v>0</v>
      </c>
      <c r="C154" s="4">
        <v>0</v>
      </c>
      <c r="D154" s="4">
        <v>1</v>
      </c>
      <c r="E154" s="4">
        <v>216</v>
      </c>
      <c r="F154" s="4">
        <f>ROUND(Source!AP145,O154)</f>
        <v>0</v>
      </c>
      <c r="G154" s="4" t="s">
        <v>87</v>
      </c>
      <c r="H154" s="4" t="s">
        <v>88</v>
      </c>
      <c r="I154" s="4"/>
      <c r="J154" s="4"/>
      <c r="K154" s="4">
        <v>216</v>
      </c>
      <c r="L154" s="4">
        <v>8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/>
    </row>
    <row r="155" spans="1:206" x14ac:dyDescent="0.2">
      <c r="A155" s="4">
        <v>50</v>
      </c>
      <c r="B155" s="4">
        <v>0</v>
      </c>
      <c r="C155" s="4">
        <v>0</v>
      </c>
      <c r="D155" s="4">
        <v>1</v>
      </c>
      <c r="E155" s="4">
        <v>223</v>
      </c>
      <c r="F155" s="4">
        <f>ROUND(Source!AQ145,O155)</f>
        <v>0</v>
      </c>
      <c r="G155" s="4" t="s">
        <v>89</v>
      </c>
      <c r="H155" s="4" t="s">
        <v>90</v>
      </c>
      <c r="I155" s="4"/>
      <c r="J155" s="4"/>
      <c r="K155" s="4">
        <v>223</v>
      </c>
      <c r="L155" s="4">
        <v>9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/>
    </row>
    <row r="156" spans="1:206" x14ac:dyDescent="0.2">
      <c r="A156" s="4">
        <v>50</v>
      </c>
      <c r="B156" s="4">
        <v>0</v>
      </c>
      <c r="C156" s="4">
        <v>0</v>
      </c>
      <c r="D156" s="4">
        <v>1</v>
      </c>
      <c r="E156" s="4">
        <v>229</v>
      </c>
      <c r="F156" s="4">
        <f>ROUND(Source!AZ145,O156)</f>
        <v>0</v>
      </c>
      <c r="G156" s="4" t="s">
        <v>91</v>
      </c>
      <c r="H156" s="4" t="s">
        <v>92</v>
      </c>
      <c r="I156" s="4"/>
      <c r="J156" s="4"/>
      <c r="K156" s="4">
        <v>229</v>
      </c>
      <c r="L156" s="4">
        <v>10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/>
    </row>
    <row r="157" spans="1:206" x14ac:dyDescent="0.2">
      <c r="A157" s="4">
        <v>50</v>
      </c>
      <c r="B157" s="4">
        <v>0</v>
      </c>
      <c r="C157" s="4">
        <v>0</v>
      </c>
      <c r="D157" s="4">
        <v>1</v>
      </c>
      <c r="E157" s="4">
        <v>203</v>
      </c>
      <c r="F157" s="4">
        <f>ROUND(Source!Q145,O157)</f>
        <v>156703.28</v>
      </c>
      <c r="G157" s="4" t="s">
        <v>93</v>
      </c>
      <c r="H157" s="4" t="s">
        <v>94</v>
      </c>
      <c r="I157" s="4"/>
      <c r="J157" s="4"/>
      <c r="K157" s="4">
        <v>203</v>
      </c>
      <c r="L157" s="4">
        <v>11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/>
    </row>
    <row r="158" spans="1:206" x14ac:dyDescent="0.2">
      <c r="A158" s="4">
        <v>50</v>
      </c>
      <c r="B158" s="4">
        <v>0</v>
      </c>
      <c r="C158" s="4">
        <v>0</v>
      </c>
      <c r="D158" s="4">
        <v>1</v>
      </c>
      <c r="E158" s="4">
        <v>231</v>
      </c>
      <c r="F158" s="4">
        <f>ROUND(Source!BB145,O158)</f>
        <v>0</v>
      </c>
      <c r="G158" s="4" t="s">
        <v>95</v>
      </c>
      <c r="H158" s="4" t="s">
        <v>96</v>
      </c>
      <c r="I158" s="4"/>
      <c r="J158" s="4"/>
      <c r="K158" s="4">
        <v>231</v>
      </c>
      <c r="L158" s="4">
        <v>12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/>
    </row>
    <row r="159" spans="1:206" x14ac:dyDescent="0.2">
      <c r="A159" s="4">
        <v>50</v>
      </c>
      <c r="B159" s="4">
        <v>0</v>
      </c>
      <c r="C159" s="4">
        <v>0</v>
      </c>
      <c r="D159" s="4">
        <v>1</v>
      </c>
      <c r="E159" s="4">
        <v>204</v>
      </c>
      <c r="F159" s="4">
        <f>ROUND(Source!R145,O159)</f>
        <v>84683.78</v>
      </c>
      <c r="G159" s="4" t="s">
        <v>97</v>
      </c>
      <c r="H159" s="4" t="s">
        <v>98</v>
      </c>
      <c r="I159" s="4"/>
      <c r="J159" s="4"/>
      <c r="K159" s="4">
        <v>204</v>
      </c>
      <c r="L159" s="4">
        <v>13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/>
    </row>
    <row r="160" spans="1:206" x14ac:dyDescent="0.2">
      <c r="A160" s="4">
        <v>50</v>
      </c>
      <c r="B160" s="4">
        <v>0</v>
      </c>
      <c r="C160" s="4">
        <v>0</v>
      </c>
      <c r="D160" s="4">
        <v>1</v>
      </c>
      <c r="E160" s="4">
        <v>205</v>
      </c>
      <c r="F160" s="4">
        <f>ROUND(Source!S145,O160)</f>
        <v>262837.75</v>
      </c>
      <c r="G160" s="4" t="s">
        <v>99</v>
      </c>
      <c r="H160" s="4" t="s">
        <v>100</v>
      </c>
      <c r="I160" s="4"/>
      <c r="J160" s="4"/>
      <c r="K160" s="4">
        <v>205</v>
      </c>
      <c r="L160" s="4">
        <v>14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/>
    </row>
    <row r="161" spans="1:206" x14ac:dyDescent="0.2">
      <c r="A161" s="4">
        <v>50</v>
      </c>
      <c r="B161" s="4">
        <v>0</v>
      </c>
      <c r="C161" s="4">
        <v>0</v>
      </c>
      <c r="D161" s="4">
        <v>1</v>
      </c>
      <c r="E161" s="4">
        <v>232</v>
      </c>
      <c r="F161" s="4">
        <f>ROUND(Source!BC145,O161)</f>
        <v>0</v>
      </c>
      <c r="G161" s="4" t="s">
        <v>101</v>
      </c>
      <c r="H161" s="4" t="s">
        <v>102</v>
      </c>
      <c r="I161" s="4"/>
      <c r="J161" s="4"/>
      <c r="K161" s="4">
        <v>232</v>
      </c>
      <c r="L161" s="4">
        <v>15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/>
    </row>
    <row r="162" spans="1:206" x14ac:dyDescent="0.2">
      <c r="A162" s="4">
        <v>50</v>
      </c>
      <c r="B162" s="4">
        <v>0</v>
      </c>
      <c r="C162" s="4">
        <v>0</v>
      </c>
      <c r="D162" s="4">
        <v>1</v>
      </c>
      <c r="E162" s="4">
        <v>214</v>
      </c>
      <c r="F162" s="4">
        <f>ROUND(Source!AS145,O162)</f>
        <v>591923.18999999994</v>
      </c>
      <c r="G162" s="4" t="s">
        <v>103</v>
      </c>
      <c r="H162" s="4" t="s">
        <v>104</v>
      </c>
      <c r="I162" s="4"/>
      <c r="J162" s="4"/>
      <c r="K162" s="4">
        <v>214</v>
      </c>
      <c r="L162" s="4">
        <v>16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/>
    </row>
    <row r="163" spans="1:206" x14ac:dyDescent="0.2">
      <c r="A163" s="4">
        <v>50</v>
      </c>
      <c r="B163" s="4">
        <v>0</v>
      </c>
      <c r="C163" s="4">
        <v>0</v>
      </c>
      <c r="D163" s="4">
        <v>1</v>
      </c>
      <c r="E163" s="4">
        <v>215</v>
      </c>
      <c r="F163" s="4">
        <f>ROUND(Source!AT145,O163)</f>
        <v>628231.19999999995</v>
      </c>
      <c r="G163" s="4" t="s">
        <v>105</v>
      </c>
      <c r="H163" s="4" t="s">
        <v>106</v>
      </c>
      <c r="I163" s="4"/>
      <c r="J163" s="4"/>
      <c r="K163" s="4">
        <v>215</v>
      </c>
      <c r="L163" s="4">
        <v>17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/>
    </row>
    <row r="164" spans="1:206" x14ac:dyDescent="0.2">
      <c r="A164" s="4">
        <v>50</v>
      </c>
      <c r="B164" s="4">
        <v>0</v>
      </c>
      <c r="C164" s="4">
        <v>0</v>
      </c>
      <c r="D164" s="4">
        <v>1</v>
      </c>
      <c r="E164" s="4">
        <v>217</v>
      </c>
      <c r="F164" s="4">
        <f>ROUND(Source!AU145,O164)</f>
        <v>5689.66</v>
      </c>
      <c r="G164" s="4" t="s">
        <v>107</v>
      </c>
      <c r="H164" s="4" t="s">
        <v>108</v>
      </c>
      <c r="I164" s="4"/>
      <c r="J164" s="4"/>
      <c r="K164" s="4">
        <v>217</v>
      </c>
      <c r="L164" s="4">
        <v>18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/>
    </row>
    <row r="165" spans="1:206" x14ac:dyDescent="0.2">
      <c r="A165" s="4">
        <v>50</v>
      </c>
      <c r="B165" s="4">
        <v>0</v>
      </c>
      <c r="C165" s="4">
        <v>0</v>
      </c>
      <c r="D165" s="4">
        <v>1</v>
      </c>
      <c r="E165" s="4">
        <v>230</v>
      </c>
      <c r="F165" s="4">
        <f>ROUND(Source!BA145,O165)</f>
        <v>0</v>
      </c>
      <c r="G165" s="4" t="s">
        <v>109</v>
      </c>
      <c r="H165" s="4" t="s">
        <v>110</v>
      </c>
      <c r="I165" s="4"/>
      <c r="J165" s="4"/>
      <c r="K165" s="4">
        <v>230</v>
      </c>
      <c r="L165" s="4">
        <v>19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/>
    </row>
    <row r="166" spans="1:206" x14ac:dyDescent="0.2">
      <c r="A166" s="4">
        <v>50</v>
      </c>
      <c r="B166" s="4">
        <v>0</v>
      </c>
      <c r="C166" s="4">
        <v>0</v>
      </c>
      <c r="D166" s="4">
        <v>1</v>
      </c>
      <c r="E166" s="4">
        <v>206</v>
      </c>
      <c r="F166" s="4">
        <f>ROUND(Source!T145,O166)</f>
        <v>0</v>
      </c>
      <c r="G166" s="4" t="s">
        <v>111</v>
      </c>
      <c r="H166" s="4" t="s">
        <v>112</v>
      </c>
      <c r="I166" s="4"/>
      <c r="J166" s="4"/>
      <c r="K166" s="4">
        <v>206</v>
      </c>
      <c r="L166" s="4">
        <v>20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/>
    </row>
    <row r="167" spans="1:206" x14ac:dyDescent="0.2">
      <c r="A167" s="4">
        <v>50</v>
      </c>
      <c r="B167" s="4">
        <v>0</v>
      </c>
      <c r="C167" s="4">
        <v>0</v>
      </c>
      <c r="D167" s="4">
        <v>1</v>
      </c>
      <c r="E167" s="4">
        <v>207</v>
      </c>
      <c r="F167" s="4">
        <f>Source!U145</f>
        <v>1127.342646674</v>
      </c>
      <c r="G167" s="4" t="s">
        <v>113</v>
      </c>
      <c r="H167" s="4" t="s">
        <v>114</v>
      </c>
      <c r="I167" s="4"/>
      <c r="J167" s="4"/>
      <c r="K167" s="4">
        <v>207</v>
      </c>
      <c r="L167" s="4">
        <v>21</v>
      </c>
      <c r="M167" s="4">
        <v>3</v>
      </c>
      <c r="N167" s="4" t="s">
        <v>3</v>
      </c>
      <c r="O167" s="4">
        <v>-1</v>
      </c>
      <c r="P167" s="4"/>
      <c r="Q167" s="4"/>
      <c r="R167" s="4"/>
      <c r="S167" s="4"/>
      <c r="T167" s="4"/>
      <c r="U167" s="4"/>
      <c r="V167" s="4"/>
      <c r="W167" s="4"/>
    </row>
    <row r="168" spans="1:206" x14ac:dyDescent="0.2">
      <c r="A168" s="4">
        <v>50</v>
      </c>
      <c r="B168" s="4">
        <v>0</v>
      </c>
      <c r="C168" s="4">
        <v>0</v>
      </c>
      <c r="D168" s="4">
        <v>1</v>
      </c>
      <c r="E168" s="4">
        <v>208</v>
      </c>
      <c r="F168" s="4">
        <f>Source!V145</f>
        <v>0</v>
      </c>
      <c r="G168" s="4" t="s">
        <v>115</v>
      </c>
      <c r="H168" s="4" t="s">
        <v>116</v>
      </c>
      <c r="I168" s="4"/>
      <c r="J168" s="4"/>
      <c r="K168" s="4">
        <v>208</v>
      </c>
      <c r="L168" s="4">
        <v>22</v>
      </c>
      <c r="M168" s="4">
        <v>3</v>
      </c>
      <c r="N168" s="4" t="s">
        <v>3</v>
      </c>
      <c r="O168" s="4">
        <v>-1</v>
      </c>
      <c r="P168" s="4"/>
      <c r="Q168" s="4"/>
      <c r="R168" s="4"/>
      <c r="S168" s="4"/>
      <c r="T168" s="4"/>
      <c r="U168" s="4"/>
      <c r="V168" s="4"/>
      <c r="W168" s="4"/>
    </row>
    <row r="169" spans="1:206" x14ac:dyDescent="0.2">
      <c r="A169" s="4">
        <v>50</v>
      </c>
      <c r="B169" s="4">
        <v>0</v>
      </c>
      <c r="C169" s="4">
        <v>0</v>
      </c>
      <c r="D169" s="4">
        <v>1</v>
      </c>
      <c r="E169" s="4">
        <v>209</v>
      </c>
      <c r="F169" s="4">
        <f>ROUND(Source!W145,O169)</f>
        <v>0</v>
      </c>
      <c r="G169" s="4" t="s">
        <v>117</v>
      </c>
      <c r="H169" s="4" t="s">
        <v>118</v>
      </c>
      <c r="I169" s="4"/>
      <c r="J169" s="4"/>
      <c r="K169" s="4">
        <v>209</v>
      </c>
      <c r="L169" s="4">
        <v>23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/>
    </row>
    <row r="170" spans="1:206" x14ac:dyDescent="0.2">
      <c r="A170" s="4">
        <v>50</v>
      </c>
      <c r="B170" s="4">
        <v>0</v>
      </c>
      <c r="C170" s="4">
        <v>0</v>
      </c>
      <c r="D170" s="4">
        <v>1</v>
      </c>
      <c r="E170" s="4">
        <v>210</v>
      </c>
      <c r="F170" s="4">
        <f>ROUND(Source!X145,O170)</f>
        <v>225415.8</v>
      </c>
      <c r="G170" s="4" t="s">
        <v>119</v>
      </c>
      <c r="H170" s="4" t="s">
        <v>120</v>
      </c>
      <c r="I170" s="4"/>
      <c r="J170" s="4"/>
      <c r="K170" s="4">
        <v>210</v>
      </c>
      <c r="L170" s="4">
        <v>24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/>
    </row>
    <row r="171" spans="1:206" x14ac:dyDescent="0.2">
      <c r="A171" s="4">
        <v>50</v>
      </c>
      <c r="B171" s="4">
        <v>0</v>
      </c>
      <c r="C171" s="4">
        <v>0</v>
      </c>
      <c r="D171" s="4">
        <v>1</v>
      </c>
      <c r="E171" s="4">
        <v>211</v>
      </c>
      <c r="F171" s="4">
        <f>ROUND(Source!Y145,O171)</f>
        <v>109244.88</v>
      </c>
      <c r="G171" s="4" t="s">
        <v>121</v>
      </c>
      <c r="H171" s="4" t="s">
        <v>122</v>
      </c>
      <c r="I171" s="4"/>
      <c r="J171" s="4"/>
      <c r="K171" s="4">
        <v>211</v>
      </c>
      <c r="L171" s="4">
        <v>25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/>
    </row>
    <row r="172" spans="1:206" x14ac:dyDescent="0.2">
      <c r="A172" s="4">
        <v>50</v>
      </c>
      <c r="B172" s="4">
        <v>0</v>
      </c>
      <c r="C172" s="4">
        <v>0</v>
      </c>
      <c r="D172" s="4">
        <v>1</v>
      </c>
      <c r="E172" s="4">
        <v>224</v>
      </c>
      <c r="F172" s="4">
        <f>ROUND(Source!AR145,O172)</f>
        <v>1225844.05</v>
      </c>
      <c r="G172" s="4" t="s">
        <v>123</v>
      </c>
      <c r="H172" s="4" t="s">
        <v>124</v>
      </c>
      <c r="I172" s="4"/>
      <c r="J172" s="4"/>
      <c r="K172" s="4">
        <v>224</v>
      </c>
      <c r="L172" s="4">
        <v>26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/>
    </row>
    <row r="174" spans="1:206" x14ac:dyDescent="0.2">
      <c r="A174" s="2">
        <v>51</v>
      </c>
      <c r="B174" s="2">
        <f>B12</f>
        <v>208</v>
      </c>
      <c r="C174" s="2">
        <f>A12</f>
        <v>1</v>
      </c>
      <c r="D174" s="2">
        <f>ROW(A12)</f>
        <v>12</v>
      </c>
      <c r="E174" s="2"/>
      <c r="F174" s="2" t="str">
        <f>IF(F12&lt;&gt;"",F12,"")</f>
        <v>Новый объект_(Копия)</v>
      </c>
      <c r="G174" s="2" t="str">
        <f>IF(G12&lt;&gt;"",G12,"")</f>
        <v>Строительство КЛ 0,4 кВ Москва  417 м</v>
      </c>
      <c r="H174" s="2">
        <v>0</v>
      </c>
      <c r="I174" s="2"/>
      <c r="J174" s="2"/>
      <c r="K174" s="2"/>
      <c r="L174" s="2"/>
      <c r="M174" s="2"/>
      <c r="N174" s="2"/>
      <c r="O174" s="2">
        <f t="shared" ref="O174:T174" si="118">ROUND(O145,2)</f>
        <v>758229.83</v>
      </c>
      <c r="P174" s="2">
        <f t="shared" si="118"/>
        <v>338688.8</v>
      </c>
      <c r="Q174" s="2">
        <f t="shared" si="118"/>
        <v>156703.28</v>
      </c>
      <c r="R174" s="2">
        <f t="shared" si="118"/>
        <v>84683.78</v>
      </c>
      <c r="S174" s="2">
        <f t="shared" si="118"/>
        <v>262837.75</v>
      </c>
      <c r="T174" s="2">
        <f t="shared" si="118"/>
        <v>0</v>
      </c>
      <c r="U174" s="2">
        <f>U145</f>
        <v>1127.342646674</v>
      </c>
      <c r="V174" s="2">
        <f>V145</f>
        <v>0</v>
      </c>
      <c r="W174" s="2">
        <f>ROUND(W145,2)</f>
        <v>0</v>
      </c>
      <c r="X174" s="2">
        <f>ROUND(X145,2)</f>
        <v>225415.8</v>
      </c>
      <c r="Y174" s="2">
        <f>ROUND(Y145,2)</f>
        <v>109244.88</v>
      </c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>
        <f t="shared" ref="AO174:BC174" si="119">ROUND(AO145,2)</f>
        <v>0</v>
      </c>
      <c r="AP174" s="2">
        <f t="shared" si="119"/>
        <v>0</v>
      </c>
      <c r="AQ174" s="2">
        <f t="shared" si="119"/>
        <v>0</v>
      </c>
      <c r="AR174" s="2">
        <f t="shared" si="119"/>
        <v>1225844.05</v>
      </c>
      <c r="AS174" s="2">
        <f t="shared" si="119"/>
        <v>591923.18999999994</v>
      </c>
      <c r="AT174" s="2">
        <f t="shared" si="119"/>
        <v>628231.19999999995</v>
      </c>
      <c r="AU174" s="2">
        <f t="shared" si="119"/>
        <v>5689.66</v>
      </c>
      <c r="AV174" s="2">
        <f t="shared" si="119"/>
        <v>338688.8</v>
      </c>
      <c r="AW174" s="2">
        <f t="shared" si="119"/>
        <v>338688.8</v>
      </c>
      <c r="AX174" s="2">
        <f t="shared" si="119"/>
        <v>0</v>
      </c>
      <c r="AY174" s="2">
        <f t="shared" si="119"/>
        <v>338688.8</v>
      </c>
      <c r="AZ174" s="2">
        <f t="shared" si="119"/>
        <v>0</v>
      </c>
      <c r="BA174" s="2">
        <f t="shared" si="119"/>
        <v>0</v>
      </c>
      <c r="BB174" s="2">
        <f t="shared" si="119"/>
        <v>0</v>
      </c>
      <c r="BC174" s="2">
        <f t="shared" si="119"/>
        <v>0</v>
      </c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3"/>
      <c r="DH174" s="3"/>
      <c r="DI174" s="3"/>
      <c r="DJ174" s="3"/>
      <c r="DK174" s="3"/>
      <c r="DL174" s="3"/>
      <c r="DM174" s="3"/>
      <c r="DN174" s="3"/>
      <c r="DO174" s="3"/>
      <c r="DP174" s="3"/>
      <c r="DQ174" s="3"/>
      <c r="DR174" s="3"/>
      <c r="DS174" s="3"/>
      <c r="DT174" s="3"/>
      <c r="DU174" s="3"/>
      <c r="DV174" s="3"/>
      <c r="DW174" s="3"/>
      <c r="DX174" s="3"/>
      <c r="DY174" s="3"/>
      <c r="DZ174" s="3"/>
      <c r="EA174" s="3"/>
      <c r="EB174" s="3"/>
      <c r="EC174" s="3"/>
      <c r="ED174" s="3"/>
      <c r="EE174" s="3"/>
      <c r="EF174" s="3"/>
      <c r="EG174" s="3"/>
      <c r="EH174" s="3"/>
      <c r="EI174" s="3"/>
      <c r="EJ174" s="3"/>
      <c r="EK174" s="3"/>
      <c r="EL174" s="3"/>
      <c r="EM174" s="3"/>
      <c r="EN174" s="3"/>
      <c r="EO174" s="3"/>
      <c r="EP174" s="3"/>
      <c r="EQ174" s="3"/>
      <c r="ER174" s="3"/>
      <c r="ES174" s="3"/>
      <c r="ET174" s="3"/>
      <c r="EU174" s="3"/>
      <c r="EV174" s="3"/>
      <c r="EW174" s="3"/>
      <c r="EX174" s="3"/>
      <c r="EY174" s="3"/>
      <c r="EZ174" s="3"/>
      <c r="FA174" s="3"/>
      <c r="FB174" s="3"/>
      <c r="FC174" s="3"/>
      <c r="FD174" s="3"/>
      <c r="FE174" s="3"/>
      <c r="FF174" s="3"/>
      <c r="FG174" s="3"/>
      <c r="FH174" s="3"/>
      <c r="FI174" s="3"/>
      <c r="FJ174" s="3"/>
      <c r="FK174" s="3"/>
      <c r="FL174" s="3"/>
      <c r="FM174" s="3"/>
      <c r="FN174" s="3"/>
      <c r="FO174" s="3"/>
      <c r="FP174" s="3"/>
      <c r="FQ174" s="3"/>
      <c r="FR174" s="3"/>
      <c r="FS174" s="3"/>
      <c r="FT174" s="3"/>
      <c r="FU174" s="3"/>
      <c r="FV174" s="3"/>
      <c r="FW174" s="3"/>
      <c r="FX174" s="3"/>
      <c r="FY174" s="3"/>
      <c r="FZ174" s="3"/>
      <c r="GA174" s="3"/>
      <c r="GB174" s="3"/>
      <c r="GC174" s="3"/>
      <c r="GD174" s="3"/>
      <c r="GE174" s="3"/>
      <c r="GF174" s="3"/>
      <c r="GG174" s="3"/>
      <c r="GH174" s="3"/>
      <c r="GI174" s="3"/>
      <c r="GJ174" s="3"/>
      <c r="GK174" s="3"/>
      <c r="GL174" s="3"/>
      <c r="GM174" s="3"/>
      <c r="GN174" s="3"/>
      <c r="GO174" s="3"/>
      <c r="GP174" s="3"/>
      <c r="GQ174" s="3"/>
      <c r="GR174" s="3"/>
      <c r="GS174" s="3"/>
      <c r="GT174" s="3"/>
      <c r="GU174" s="3"/>
      <c r="GV174" s="3"/>
      <c r="GW174" s="3"/>
      <c r="GX174" s="3">
        <v>0</v>
      </c>
    </row>
    <row r="176" spans="1:206" x14ac:dyDescent="0.2">
      <c r="A176" s="4">
        <v>50</v>
      </c>
      <c r="B176" s="4">
        <v>0</v>
      </c>
      <c r="C176" s="4">
        <v>0</v>
      </c>
      <c r="D176" s="4">
        <v>1</v>
      </c>
      <c r="E176" s="4">
        <v>201</v>
      </c>
      <c r="F176" s="4">
        <f>ROUND(Source!O174,O176)</f>
        <v>758229.83</v>
      </c>
      <c r="G176" s="4" t="s">
        <v>73</v>
      </c>
      <c r="H176" s="4" t="s">
        <v>74</v>
      </c>
      <c r="I176" s="4"/>
      <c r="J176" s="4"/>
      <c r="K176" s="4">
        <v>201</v>
      </c>
      <c r="L176" s="4">
        <v>1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/>
    </row>
    <row r="177" spans="1:23" x14ac:dyDescent="0.2">
      <c r="A177" s="4">
        <v>50</v>
      </c>
      <c r="B177" s="4">
        <v>0</v>
      </c>
      <c r="C177" s="4">
        <v>0</v>
      </c>
      <c r="D177" s="4">
        <v>1</v>
      </c>
      <c r="E177" s="4">
        <v>202</v>
      </c>
      <c r="F177" s="4">
        <f>ROUND(Source!P174,O177)</f>
        <v>338688.8</v>
      </c>
      <c r="G177" s="4" t="s">
        <v>75</v>
      </c>
      <c r="H177" s="4" t="s">
        <v>76</v>
      </c>
      <c r="I177" s="4"/>
      <c r="J177" s="4"/>
      <c r="K177" s="4">
        <v>202</v>
      </c>
      <c r="L177" s="4">
        <v>2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/>
    </row>
    <row r="178" spans="1:23" x14ac:dyDescent="0.2">
      <c r="A178" s="4">
        <v>50</v>
      </c>
      <c r="B178" s="4">
        <v>0</v>
      </c>
      <c r="C178" s="4">
        <v>0</v>
      </c>
      <c r="D178" s="4">
        <v>1</v>
      </c>
      <c r="E178" s="4">
        <v>222</v>
      </c>
      <c r="F178" s="4">
        <f>ROUND(Source!AO174,O178)</f>
        <v>0</v>
      </c>
      <c r="G178" s="4" t="s">
        <v>77</v>
      </c>
      <c r="H178" s="4" t="s">
        <v>78</v>
      </c>
      <c r="I178" s="4"/>
      <c r="J178" s="4"/>
      <c r="K178" s="4">
        <v>222</v>
      </c>
      <c r="L178" s="4">
        <v>3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/>
    </row>
    <row r="179" spans="1:23" x14ac:dyDescent="0.2">
      <c r="A179" s="4">
        <v>50</v>
      </c>
      <c r="B179" s="4">
        <v>0</v>
      </c>
      <c r="C179" s="4">
        <v>0</v>
      </c>
      <c r="D179" s="4">
        <v>1</v>
      </c>
      <c r="E179" s="4">
        <v>225</v>
      </c>
      <c r="F179" s="4">
        <f>ROUND(Source!AV174,O179)</f>
        <v>338688.8</v>
      </c>
      <c r="G179" s="4" t="s">
        <v>79</v>
      </c>
      <c r="H179" s="4" t="s">
        <v>80</v>
      </c>
      <c r="I179" s="4"/>
      <c r="J179" s="4"/>
      <c r="K179" s="4">
        <v>225</v>
      </c>
      <c r="L179" s="4">
        <v>4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/>
    </row>
    <row r="180" spans="1:23" x14ac:dyDescent="0.2">
      <c r="A180" s="4">
        <v>50</v>
      </c>
      <c r="B180" s="4">
        <v>0</v>
      </c>
      <c r="C180" s="4">
        <v>0</v>
      </c>
      <c r="D180" s="4">
        <v>1</v>
      </c>
      <c r="E180" s="4">
        <v>226</v>
      </c>
      <c r="F180" s="4">
        <f>ROUND(Source!AW174,O180)</f>
        <v>338688.8</v>
      </c>
      <c r="G180" s="4" t="s">
        <v>81</v>
      </c>
      <c r="H180" s="4" t="s">
        <v>82</v>
      </c>
      <c r="I180" s="4"/>
      <c r="J180" s="4"/>
      <c r="K180" s="4">
        <v>226</v>
      </c>
      <c r="L180" s="4">
        <v>5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/>
    </row>
    <row r="181" spans="1:23" x14ac:dyDescent="0.2">
      <c r="A181" s="4">
        <v>50</v>
      </c>
      <c r="B181" s="4">
        <v>0</v>
      </c>
      <c r="C181" s="4">
        <v>0</v>
      </c>
      <c r="D181" s="4">
        <v>1</v>
      </c>
      <c r="E181" s="4">
        <v>227</v>
      </c>
      <c r="F181" s="4">
        <f>ROUND(Source!AX174,O181)</f>
        <v>0</v>
      </c>
      <c r="G181" s="4" t="s">
        <v>83</v>
      </c>
      <c r="H181" s="4" t="s">
        <v>84</v>
      </c>
      <c r="I181" s="4"/>
      <c r="J181" s="4"/>
      <c r="K181" s="4">
        <v>227</v>
      </c>
      <c r="L181" s="4">
        <v>6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/>
    </row>
    <row r="182" spans="1:23" x14ac:dyDescent="0.2">
      <c r="A182" s="4">
        <v>50</v>
      </c>
      <c r="B182" s="4">
        <v>0</v>
      </c>
      <c r="C182" s="4">
        <v>0</v>
      </c>
      <c r="D182" s="4">
        <v>1</v>
      </c>
      <c r="E182" s="4">
        <v>228</v>
      </c>
      <c r="F182" s="4">
        <f>ROUND(Source!AY174,O182)</f>
        <v>338688.8</v>
      </c>
      <c r="G182" s="4" t="s">
        <v>85</v>
      </c>
      <c r="H182" s="4" t="s">
        <v>86</v>
      </c>
      <c r="I182" s="4"/>
      <c r="J182" s="4"/>
      <c r="K182" s="4">
        <v>228</v>
      </c>
      <c r="L182" s="4">
        <v>7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/>
    </row>
    <row r="183" spans="1:23" x14ac:dyDescent="0.2">
      <c r="A183" s="4">
        <v>50</v>
      </c>
      <c r="B183" s="4">
        <v>0</v>
      </c>
      <c r="C183" s="4">
        <v>0</v>
      </c>
      <c r="D183" s="4">
        <v>1</v>
      </c>
      <c r="E183" s="4">
        <v>216</v>
      </c>
      <c r="F183" s="4">
        <f>ROUND(Source!AP174,O183)</f>
        <v>0</v>
      </c>
      <c r="G183" s="4" t="s">
        <v>87</v>
      </c>
      <c r="H183" s="4" t="s">
        <v>88</v>
      </c>
      <c r="I183" s="4"/>
      <c r="J183" s="4"/>
      <c r="K183" s="4">
        <v>216</v>
      </c>
      <c r="L183" s="4">
        <v>8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/>
    </row>
    <row r="184" spans="1:23" x14ac:dyDescent="0.2">
      <c r="A184" s="4">
        <v>50</v>
      </c>
      <c r="B184" s="4">
        <v>0</v>
      </c>
      <c r="C184" s="4">
        <v>0</v>
      </c>
      <c r="D184" s="4">
        <v>1</v>
      </c>
      <c r="E184" s="4">
        <v>223</v>
      </c>
      <c r="F184" s="4">
        <f>ROUND(Source!AQ174,O184)</f>
        <v>0</v>
      </c>
      <c r="G184" s="4" t="s">
        <v>89</v>
      </c>
      <c r="H184" s="4" t="s">
        <v>90</v>
      </c>
      <c r="I184" s="4"/>
      <c r="J184" s="4"/>
      <c r="K184" s="4">
        <v>223</v>
      </c>
      <c r="L184" s="4">
        <v>9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/>
    </row>
    <row r="185" spans="1:23" x14ac:dyDescent="0.2">
      <c r="A185" s="4">
        <v>50</v>
      </c>
      <c r="B185" s="4">
        <v>0</v>
      </c>
      <c r="C185" s="4">
        <v>0</v>
      </c>
      <c r="D185" s="4">
        <v>1</v>
      </c>
      <c r="E185" s="4">
        <v>229</v>
      </c>
      <c r="F185" s="4">
        <f>ROUND(Source!AZ174,O185)</f>
        <v>0</v>
      </c>
      <c r="G185" s="4" t="s">
        <v>91</v>
      </c>
      <c r="H185" s="4" t="s">
        <v>92</v>
      </c>
      <c r="I185" s="4"/>
      <c r="J185" s="4"/>
      <c r="K185" s="4">
        <v>229</v>
      </c>
      <c r="L185" s="4">
        <v>10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/>
    </row>
    <row r="186" spans="1:23" x14ac:dyDescent="0.2">
      <c r="A186" s="4">
        <v>50</v>
      </c>
      <c r="B186" s="4">
        <v>0</v>
      </c>
      <c r="C186" s="4">
        <v>0</v>
      </c>
      <c r="D186" s="4">
        <v>1</v>
      </c>
      <c r="E186" s="4">
        <v>203</v>
      </c>
      <c r="F186" s="4">
        <f>ROUND(Source!Q174,O186)</f>
        <v>156703.28</v>
      </c>
      <c r="G186" s="4" t="s">
        <v>93</v>
      </c>
      <c r="H186" s="4" t="s">
        <v>94</v>
      </c>
      <c r="I186" s="4"/>
      <c r="J186" s="4"/>
      <c r="K186" s="4">
        <v>203</v>
      </c>
      <c r="L186" s="4">
        <v>11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/>
    </row>
    <row r="187" spans="1:23" x14ac:dyDescent="0.2">
      <c r="A187" s="4">
        <v>50</v>
      </c>
      <c r="B187" s="4">
        <v>0</v>
      </c>
      <c r="C187" s="4">
        <v>0</v>
      </c>
      <c r="D187" s="4">
        <v>1</v>
      </c>
      <c r="E187" s="4">
        <v>231</v>
      </c>
      <c r="F187" s="4">
        <f>ROUND(Source!BB174,O187)</f>
        <v>0</v>
      </c>
      <c r="G187" s="4" t="s">
        <v>95</v>
      </c>
      <c r="H187" s="4" t="s">
        <v>96</v>
      </c>
      <c r="I187" s="4"/>
      <c r="J187" s="4"/>
      <c r="K187" s="4">
        <v>231</v>
      </c>
      <c r="L187" s="4">
        <v>12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/>
    </row>
    <row r="188" spans="1:23" x14ac:dyDescent="0.2">
      <c r="A188" s="4">
        <v>50</v>
      </c>
      <c r="B188" s="4">
        <v>0</v>
      </c>
      <c r="C188" s="4">
        <v>0</v>
      </c>
      <c r="D188" s="4">
        <v>1</v>
      </c>
      <c r="E188" s="4">
        <v>204</v>
      </c>
      <c r="F188" s="4">
        <f>ROUND(Source!R174,O188)</f>
        <v>84683.78</v>
      </c>
      <c r="G188" s="4" t="s">
        <v>97</v>
      </c>
      <c r="H188" s="4" t="s">
        <v>98</v>
      </c>
      <c r="I188" s="4"/>
      <c r="J188" s="4"/>
      <c r="K188" s="4">
        <v>204</v>
      </c>
      <c r="L188" s="4">
        <v>13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/>
    </row>
    <row r="189" spans="1:23" x14ac:dyDescent="0.2">
      <c r="A189" s="4">
        <v>50</v>
      </c>
      <c r="B189" s="4">
        <v>0</v>
      </c>
      <c r="C189" s="4">
        <v>0</v>
      </c>
      <c r="D189" s="4">
        <v>1</v>
      </c>
      <c r="E189" s="4">
        <v>205</v>
      </c>
      <c r="F189" s="4">
        <f>ROUND(Source!S174,O189)</f>
        <v>262837.75</v>
      </c>
      <c r="G189" s="4" t="s">
        <v>99</v>
      </c>
      <c r="H189" s="4" t="s">
        <v>100</v>
      </c>
      <c r="I189" s="4"/>
      <c r="J189" s="4"/>
      <c r="K189" s="4">
        <v>205</v>
      </c>
      <c r="L189" s="4">
        <v>14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/>
    </row>
    <row r="190" spans="1:23" x14ac:dyDescent="0.2">
      <c r="A190" s="4">
        <v>50</v>
      </c>
      <c r="B190" s="4">
        <v>0</v>
      </c>
      <c r="C190" s="4">
        <v>0</v>
      </c>
      <c r="D190" s="4">
        <v>1</v>
      </c>
      <c r="E190" s="4">
        <v>232</v>
      </c>
      <c r="F190" s="4">
        <f>ROUND(Source!BC174,O190)</f>
        <v>0</v>
      </c>
      <c r="G190" s="4" t="s">
        <v>101</v>
      </c>
      <c r="H190" s="4" t="s">
        <v>102</v>
      </c>
      <c r="I190" s="4"/>
      <c r="J190" s="4"/>
      <c r="K190" s="4">
        <v>232</v>
      </c>
      <c r="L190" s="4">
        <v>15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/>
    </row>
    <row r="191" spans="1:23" x14ac:dyDescent="0.2">
      <c r="A191" s="4">
        <v>50</v>
      </c>
      <c r="B191" s="4">
        <v>0</v>
      </c>
      <c r="C191" s="4">
        <v>0</v>
      </c>
      <c r="D191" s="4">
        <v>1</v>
      </c>
      <c r="E191" s="4">
        <v>214</v>
      </c>
      <c r="F191" s="4">
        <f>ROUND(Source!AS174,O191)</f>
        <v>591923.18999999994</v>
      </c>
      <c r="G191" s="4" t="s">
        <v>103</v>
      </c>
      <c r="H191" s="4" t="s">
        <v>104</v>
      </c>
      <c r="I191" s="4"/>
      <c r="J191" s="4"/>
      <c r="K191" s="4">
        <v>214</v>
      </c>
      <c r="L191" s="4">
        <v>16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/>
    </row>
    <row r="192" spans="1:23" x14ac:dyDescent="0.2">
      <c r="A192" s="4">
        <v>50</v>
      </c>
      <c r="B192" s="4">
        <v>0</v>
      </c>
      <c r="C192" s="4">
        <v>0</v>
      </c>
      <c r="D192" s="4">
        <v>1</v>
      </c>
      <c r="E192" s="4">
        <v>215</v>
      </c>
      <c r="F192" s="4">
        <f>ROUND(Source!AT174,O192)</f>
        <v>628231.19999999995</v>
      </c>
      <c r="G192" s="4" t="s">
        <v>105</v>
      </c>
      <c r="H192" s="4" t="s">
        <v>106</v>
      </c>
      <c r="I192" s="4"/>
      <c r="J192" s="4"/>
      <c r="K192" s="4">
        <v>215</v>
      </c>
      <c r="L192" s="4">
        <v>17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/>
    </row>
    <row r="193" spans="1:23" x14ac:dyDescent="0.2">
      <c r="A193" s="4">
        <v>50</v>
      </c>
      <c r="B193" s="4">
        <v>0</v>
      </c>
      <c r="C193" s="4">
        <v>0</v>
      </c>
      <c r="D193" s="4">
        <v>1</v>
      </c>
      <c r="E193" s="4">
        <v>217</v>
      </c>
      <c r="F193" s="4">
        <f>ROUND(Source!AU174,O193)</f>
        <v>5689.66</v>
      </c>
      <c r="G193" s="4" t="s">
        <v>107</v>
      </c>
      <c r="H193" s="4" t="s">
        <v>108</v>
      </c>
      <c r="I193" s="4"/>
      <c r="J193" s="4"/>
      <c r="K193" s="4">
        <v>217</v>
      </c>
      <c r="L193" s="4">
        <v>18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/>
    </row>
    <row r="194" spans="1:23" x14ac:dyDescent="0.2">
      <c r="A194" s="4">
        <v>50</v>
      </c>
      <c r="B194" s="4">
        <v>0</v>
      </c>
      <c r="C194" s="4">
        <v>0</v>
      </c>
      <c r="D194" s="4">
        <v>1</v>
      </c>
      <c r="E194" s="4">
        <v>230</v>
      </c>
      <c r="F194" s="4">
        <f>ROUND(Source!BA174,O194)</f>
        <v>0</v>
      </c>
      <c r="G194" s="4" t="s">
        <v>109</v>
      </c>
      <c r="H194" s="4" t="s">
        <v>110</v>
      </c>
      <c r="I194" s="4"/>
      <c r="J194" s="4"/>
      <c r="K194" s="4">
        <v>230</v>
      </c>
      <c r="L194" s="4">
        <v>19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/>
    </row>
    <row r="195" spans="1:23" x14ac:dyDescent="0.2">
      <c r="A195" s="4">
        <v>50</v>
      </c>
      <c r="B195" s="4">
        <v>0</v>
      </c>
      <c r="C195" s="4">
        <v>0</v>
      </c>
      <c r="D195" s="4">
        <v>1</v>
      </c>
      <c r="E195" s="4">
        <v>206</v>
      </c>
      <c r="F195" s="4">
        <f>ROUND(Source!T174,O195)</f>
        <v>0</v>
      </c>
      <c r="G195" s="4" t="s">
        <v>111</v>
      </c>
      <c r="H195" s="4" t="s">
        <v>112</v>
      </c>
      <c r="I195" s="4"/>
      <c r="J195" s="4"/>
      <c r="K195" s="4">
        <v>206</v>
      </c>
      <c r="L195" s="4">
        <v>20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/>
    </row>
    <row r="196" spans="1:23" x14ac:dyDescent="0.2">
      <c r="A196" s="4">
        <v>50</v>
      </c>
      <c r="B196" s="4">
        <v>0</v>
      </c>
      <c r="C196" s="4">
        <v>0</v>
      </c>
      <c r="D196" s="4">
        <v>1</v>
      </c>
      <c r="E196" s="4">
        <v>207</v>
      </c>
      <c r="F196" s="4">
        <f>Source!U174</f>
        <v>1127.342646674</v>
      </c>
      <c r="G196" s="4" t="s">
        <v>113</v>
      </c>
      <c r="H196" s="4" t="s">
        <v>114</v>
      </c>
      <c r="I196" s="4"/>
      <c r="J196" s="4"/>
      <c r="K196" s="4">
        <v>207</v>
      </c>
      <c r="L196" s="4">
        <v>21</v>
      </c>
      <c r="M196" s="4">
        <v>3</v>
      </c>
      <c r="N196" s="4" t="s">
        <v>3</v>
      </c>
      <c r="O196" s="4">
        <v>-1</v>
      </c>
      <c r="P196" s="4"/>
      <c r="Q196" s="4"/>
      <c r="R196" s="4"/>
      <c r="S196" s="4"/>
      <c r="T196" s="4"/>
      <c r="U196" s="4"/>
      <c r="V196" s="4"/>
      <c r="W196" s="4"/>
    </row>
    <row r="197" spans="1:23" x14ac:dyDescent="0.2">
      <c r="A197" s="4">
        <v>50</v>
      </c>
      <c r="B197" s="4">
        <v>0</v>
      </c>
      <c r="C197" s="4">
        <v>0</v>
      </c>
      <c r="D197" s="4">
        <v>1</v>
      </c>
      <c r="E197" s="4">
        <v>208</v>
      </c>
      <c r="F197" s="4">
        <f>Source!V174</f>
        <v>0</v>
      </c>
      <c r="G197" s="4" t="s">
        <v>115</v>
      </c>
      <c r="H197" s="4" t="s">
        <v>116</v>
      </c>
      <c r="I197" s="4"/>
      <c r="J197" s="4"/>
      <c r="K197" s="4">
        <v>208</v>
      </c>
      <c r="L197" s="4">
        <v>22</v>
      </c>
      <c r="M197" s="4">
        <v>3</v>
      </c>
      <c r="N197" s="4" t="s">
        <v>3</v>
      </c>
      <c r="O197" s="4">
        <v>-1</v>
      </c>
      <c r="P197" s="4"/>
      <c r="Q197" s="4"/>
      <c r="R197" s="4"/>
      <c r="S197" s="4"/>
      <c r="T197" s="4"/>
      <c r="U197" s="4"/>
      <c r="V197" s="4"/>
      <c r="W197" s="4"/>
    </row>
    <row r="198" spans="1:23" x14ac:dyDescent="0.2">
      <c r="A198" s="4">
        <v>50</v>
      </c>
      <c r="B198" s="4">
        <v>0</v>
      </c>
      <c r="C198" s="4">
        <v>0</v>
      </c>
      <c r="D198" s="4">
        <v>1</v>
      </c>
      <c r="E198" s="4">
        <v>209</v>
      </c>
      <c r="F198" s="4">
        <f>ROUND(Source!W174,O198)</f>
        <v>0</v>
      </c>
      <c r="G198" s="4" t="s">
        <v>117</v>
      </c>
      <c r="H198" s="4" t="s">
        <v>118</v>
      </c>
      <c r="I198" s="4"/>
      <c r="J198" s="4"/>
      <c r="K198" s="4">
        <v>209</v>
      </c>
      <c r="L198" s="4">
        <v>23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/>
    </row>
    <row r="199" spans="1:23" x14ac:dyDescent="0.2">
      <c r="A199" s="4">
        <v>50</v>
      </c>
      <c r="B199" s="4">
        <v>0</v>
      </c>
      <c r="C199" s="4">
        <v>0</v>
      </c>
      <c r="D199" s="4">
        <v>1</v>
      </c>
      <c r="E199" s="4">
        <v>210</v>
      </c>
      <c r="F199" s="4">
        <f>ROUND(Source!X174,O199)</f>
        <v>225415.8</v>
      </c>
      <c r="G199" s="4" t="s">
        <v>119</v>
      </c>
      <c r="H199" s="4" t="s">
        <v>120</v>
      </c>
      <c r="I199" s="4"/>
      <c r="J199" s="4"/>
      <c r="K199" s="4">
        <v>210</v>
      </c>
      <c r="L199" s="4">
        <v>24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/>
    </row>
    <row r="200" spans="1:23" x14ac:dyDescent="0.2">
      <c r="A200" s="4">
        <v>50</v>
      </c>
      <c r="B200" s="4">
        <v>0</v>
      </c>
      <c r="C200" s="4">
        <v>0</v>
      </c>
      <c r="D200" s="4">
        <v>1</v>
      </c>
      <c r="E200" s="4">
        <v>211</v>
      </c>
      <c r="F200" s="4">
        <f>ROUND(Source!Y174,O200)</f>
        <v>109244.88</v>
      </c>
      <c r="G200" s="4" t="s">
        <v>121</v>
      </c>
      <c r="H200" s="4" t="s">
        <v>122</v>
      </c>
      <c r="I200" s="4"/>
      <c r="J200" s="4"/>
      <c r="K200" s="4">
        <v>211</v>
      </c>
      <c r="L200" s="4">
        <v>25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/>
    </row>
    <row r="201" spans="1:23" x14ac:dyDescent="0.2">
      <c r="A201" s="4">
        <v>50</v>
      </c>
      <c r="B201" s="4">
        <v>0</v>
      </c>
      <c r="C201" s="4">
        <v>0</v>
      </c>
      <c r="D201" s="4">
        <v>1</v>
      </c>
      <c r="E201" s="4">
        <v>224</v>
      </c>
      <c r="F201" s="4">
        <f>ROUND(Source!AR174,O201)</f>
        <v>1225844.05</v>
      </c>
      <c r="G201" s="4" t="s">
        <v>123</v>
      </c>
      <c r="H201" s="4" t="s">
        <v>124</v>
      </c>
      <c r="I201" s="4"/>
      <c r="J201" s="4"/>
      <c r="K201" s="4">
        <v>224</v>
      </c>
      <c r="L201" s="4">
        <v>26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/>
    </row>
    <row r="202" spans="1:23" x14ac:dyDescent="0.2">
      <c r="A202" s="4">
        <v>50</v>
      </c>
      <c r="B202" s="4">
        <v>1</v>
      </c>
      <c r="C202" s="4">
        <v>0</v>
      </c>
      <c r="D202" s="4">
        <v>2</v>
      </c>
      <c r="E202" s="4">
        <v>0</v>
      </c>
      <c r="F202" s="4">
        <f>ROUND(F201*0.18,O202)</f>
        <v>220651.93</v>
      </c>
      <c r="G202" s="4" t="s">
        <v>187</v>
      </c>
      <c r="H202" s="4" t="s">
        <v>188</v>
      </c>
      <c r="I202" s="4"/>
      <c r="J202" s="4"/>
      <c r="K202" s="4">
        <v>212</v>
      </c>
      <c r="L202" s="4">
        <v>27</v>
      </c>
      <c r="M202" s="4">
        <v>0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/>
    </row>
    <row r="203" spans="1:23" x14ac:dyDescent="0.2">
      <c r="A203" s="4">
        <v>50</v>
      </c>
      <c r="B203" s="4">
        <v>1</v>
      </c>
      <c r="C203" s="4">
        <v>0</v>
      </c>
      <c r="D203" s="4">
        <v>2</v>
      </c>
      <c r="E203" s="4">
        <v>0</v>
      </c>
      <c r="F203" s="4">
        <f>ROUND(F201+F202,O203)</f>
        <v>1446495.98</v>
      </c>
      <c r="G203" s="4" t="s">
        <v>189</v>
      </c>
      <c r="H203" s="4" t="s">
        <v>190</v>
      </c>
      <c r="I203" s="4"/>
      <c r="J203" s="4"/>
      <c r="K203" s="4">
        <v>212</v>
      </c>
      <c r="L203" s="4">
        <v>28</v>
      </c>
      <c r="M203" s="4">
        <v>0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/>
    </row>
    <row r="206" spans="1:23" x14ac:dyDescent="0.2">
      <c r="A206">
        <v>-1</v>
      </c>
    </row>
    <row r="208" spans="1:23" x14ac:dyDescent="0.2">
      <c r="A208" s="3">
        <v>75</v>
      </c>
      <c r="B208" s="3" t="s">
        <v>191</v>
      </c>
      <c r="C208" s="3">
        <v>2018</v>
      </c>
      <c r="D208" s="3">
        <v>0</v>
      </c>
      <c r="E208" s="3">
        <v>7</v>
      </c>
      <c r="F208" s="3"/>
      <c r="G208" s="3">
        <v>0</v>
      </c>
      <c r="H208" s="3">
        <v>2</v>
      </c>
      <c r="I208" s="3">
        <v>1</v>
      </c>
      <c r="J208" s="3">
        <v>1</v>
      </c>
      <c r="K208" s="3">
        <v>93</v>
      </c>
      <c r="L208" s="3">
        <v>64</v>
      </c>
      <c r="M208" s="3">
        <v>0</v>
      </c>
      <c r="N208" s="3">
        <v>35678934</v>
      </c>
      <c r="O208" s="3">
        <v>1</v>
      </c>
    </row>
    <row r="209" spans="1:27" x14ac:dyDescent="0.2">
      <c r="A209" s="5">
        <v>1</v>
      </c>
      <c r="B209" s="5" t="s">
        <v>192</v>
      </c>
      <c r="C209" s="5" t="s">
        <v>193</v>
      </c>
      <c r="D209" s="5">
        <v>2018</v>
      </c>
      <c r="E209" s="5">
        <v>7</v>
      </c>
      <c r="F209" s="5">
        <v>1</v>
      </c>
      <c r="G209" s="5">
        <v>1</v>
      </c>
      <c r="H209" s="5">
        <v>0</v>
      </c>
      <c r="I209" s="5">
        <v>2</v>
      </c>
      <c r="J209" s="5">
        <v>1</v>
      </c>
      <c r="K209" s="5">
        <v>1</v>
      </c>
      <c r="L209" s="5">
        <v>1</v>
      </c>
      <c r="M209" s="5">
        <v>1</v>
      </c>
      <c r="N209" s="5">
        <v>1</v>
      </c>
      <c r="O209" s="5">
        <v>1</v>
      </c>
      <c r="P209" s="5">
        <v>1</v>
      </c>
      <c r="Q209" s="5">
        <v>1</v>
      </c>
      <c r="R209" s="5" t="s">
        <v>3</v>
      </c>
      <c r="S209" s="5" t="s">
        <v>3</v>
      </c>
      <c r="T209" s="5" t="s">
        <v>3</v>
      </c>
      <c r="U209" s="5" t="s">
        <v>3</v>
      </c>
      <c r="V209" s="5" t="s">
        <v>3</v>
      </c>
      <c r="W209" s="5" t="s">
        <v>3</v>
      </c>
      <c r="X209" s="5" t="s">
        <v>3</v>
      </c>
      <c r="Y209" s="5" t="s">
        <v>3</v>
      </c>
      <c r="Z209" s="5" t="s">
        <v>3</v>
      </c>
      <c r="AA209" s="5" t="s">
        <v>194</v>
      </c>
    </row>
    <row r="213" spans="1:27" x14ac:dyDescent="0.2">
      <c r="A213">
        <v>65</v>
      </c>
      <c r="C213">
        <v>1</v>
      </c>
      <c r="D213">
        <v>0</v>
      </c>
      <c r="E213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195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51927</v>
      </c>
      <c r="M1">
        <v>10</v>
      </c>
      <c r="N1">
        <v>10</v>
      </c>
      <c r="O1">
        <v>1</v>
      </c>
      <c r="P1">
        <v>0</v>
      </c>
      <c r="Q1">
        <v>8</v>
      </c>
    </row>
    <row r="12" spans="1:133" x14ac:dyDescent="0.2">
      <c r="A12" s="1">
        <v>1</v>
      </c>
      <c r="B12" s="1">
        <v>52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157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48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35678934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1</v>
      </c>
      <c r="C16" s="6" t="s">
        <v>12</v>
      </c>
      <c r="D16" s="6" t="s">
        <v>12</v>
      </c>
      <c r="E16" s="7">
        <f>(Source!F162)/1000</f>
        <v>591.92318999999998</v>
      </c>
      <c r="F16" s="7">
        <f>(Source!F163)/1000</f>
        <v>628.23119999999994</v>
      </c>
      <c r="G16" s="7">
        <f>(Source!F154)/1000</f>
        <v>0</v>
      </c>
      <c r="H16" s="7">
        <f>(Source!F164)/1000+(Source!F165)/1000</f>
        <v>5.6896599999999999</v>
      </c>
      <c r="I16" s="7">
        <f>E16+F16+G16+H16</f>
        <v>1225.8440499999999</v>
      </c>
      <c r="J16" s="7">
        <f>(Source!F160)/1000</f>
        <v>262.83775000000003</v>
      </c>
      <c r="AI16" s="6">
        <v>0</v>
      </c>
      <c r="AJ16" s="6">
        <v>0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758229.83</v>
      </c>
      <c r="AU16" s="7">
        <v>338688.8</v>
      </c>
      <c r="AV16" s="7">
        <v>0</v>
      </c>
      <c r="AW16" s="7">
        <v>0</v>
      </c>
      <c r="AX16" s="7">
        <v>0</v>
      </c>
      <c r="AY16" s="7">
        <v>156703.28</v>
      </c>
      <c r="AZ16" s="7">
        <v>84683.78</v>
      </c>
      <c r="BA16" s="7">
        <v>262837.75</v>
      </c>
      <c r="BB16" s="7">
        <v>591923.18999999994</v>
      </c>
      <c r="BC16" s="7">
        <v>628231.19999999995</v>
      </c>
      <c r="BD16" s="7">
        <v>5689.66</v>
      </c>
      <c r="BE16" s="7">
        <v>0</v>
      </c>
      <c r="BF16" s="7">
        <v>1127.342646674</v>
      </c>
      <c r="BG16" s="7">
        <v>0</v>
      </c>
      <c r="BH16" s="7">
        <v>0</v>
      </c>
      <c r="BI16" s="7">
        <v>225415.8</v>
      </c>
      <c r="BJ16" s="7">
        <v>109244.88</v>
      </c>
      <c r="BK16" s="7">
        <v>1225844.05</v>
      </c>
    </row>
    <row r="18" spans="1:19" x14ac:dyDescent="0.2">
      <c r="A18">
        <v>51</v>
      </c>
      <c r="E18" s="8">
        <f>SUMIF(A16:A17,3,E16:E17)</f>
        <v>591.92318999999998</v>
      </c>
      <c r="F18" s="8">
        <f>SUMIF(A16:A17,3,F16:F17)</f>
        <v>628.23119999999994</v>
      </c>
      <c r="G18" s="8">
        <f>SUMIF(A16:A17,3,G16:G17)</f>
        <v>0</v>
      </c>
      <c r="H18" s="8">
        <f>SUMIF(A16:A17,3,H16:H17)</f>
        <v>5.6896599999999999</v>
      </c>
      <c r="I18" s="8">
        <f>SUMIF(A16:A17,3,I16:I17)</f>
        <v>1225.8440499999999</v>
      </c>
      <c r="J18" s="8">
        <f>SUMIF(A16:A17,3,J16:J17)</f>
        <v>262.83775000000003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758229.83</v>
      </c>
      <c r="G20" s="4" t="s">
        <v>73</v>
      </c>
      <c r="H20" s="4" t="s">
        <v>74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338688.8</v>
      </c>
      <c r="G21" s="4" t="s">
        <v>75</v>
      </c>
      <c r="H21" s="4" t="s">
        <v>76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77</v>
      </c>
      <c r="H22" s="4" t="s">
        <v>78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338688.8</v>
      </c>
      <c r="G23" s="4" t="s">
        <v>79</v>
      </c>
      <c r="H23" s="4" t="s">
        <v>80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338688.8</v>
      </c>
      <c r="G24" s="4" t="s">
        <v>81</v>
      </c>
      <c r="H24" s="4" t="s">
        <v>82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83</v>
      </c>
      <c r="H25" s="4" t="s">
        <v>84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338688.8</v>
      </c>
      <c r="G26" s="4" t="s">
        <v>85</v>
      </c>
      <c r="H26" s="4" t="s">
        <v>86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87</v>
      </c>
      <c r="H27" s="4" t="s">
        <v>88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89</v>
      </c>
      <c r="H28" s="4" t="s">
        <v>90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91</v>
      </c>
      <c r="H29" s="4" t="s">
        <v>92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156703.28</v>
      </c>
      <c r="G30" s="4" t="s">
        <v>93</v>
      </c>
      <c r="H30" s="4" t="s">
        <v>94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95</v>
      </c>
      <c r="H31" s="4" t="s">
        <v>96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84683.78</v>
      </c>
      <c r="G32" s="4" t="s">
        <v>97</v>
      </c>
      <c r="H32" s="4" t="s">
        <v>98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262837.75</v>
      </c>
      <c r="G33" s="4" t="s">
        <v>99</v>
      </c>
      <c r="H33" s="4" t="s">
        <v>100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101</v>
      </c>
      <c r="H34" s="4" t="s">
        <v>102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591923.18999999994</v>
      </c>
      <c r="G35" s="4" t="s">
        <v>103</v>
      </c>
      <c r="H35" s="4" t="s">
        <v>104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628231.19999999995</v>
      </c>
      <c r="G36" s="4" t="s">
        <v>105</v>
      </c>
      <c r="H36" s="4" t="s">
        <v>106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5689.66</v>
      </c>
      <c r="G37" s="4" t="s">
        <v>107</v>
      </c>
      <c r="H37" s="4" t="s">
        <v>108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109</v>
      </c>
      <c r="H38" s="4" t="s">
        <v>110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111</v>
      </c>
      <c r="H39" s="4" t="s">
        <v>112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1127.342646674</v>
      </c>
      <c r="G40" s="4" t="s">
        <v>113</v>
      </c>
      <c r="H40" s="4" t="s">
        <v>114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115</v>
      </c>
      <c r="H41" s="4" t="s">
        <v>116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117</v>
      </c>
      <c r="H42" s="4" t="s">
        <v>118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210</v>
      </c>
      <c r="F43" s="4">
        <v>225415.8</v>
      </c>
      <c r="G43" s="4" t="s">
        <v>119</v>
      </c>
      <c r="H43" s="4" t="s">
        <v>120</v>
      </c>
      <c r="I43" s="4"/>
      <c r="J43" s="4"/>
      <c r="K43" s="4">
        <v>210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211</v>
      </c>
      <c r="F44" s="4">
        <v>109244.88</v>
      </c>
      <c r="G44" s="4" t="s">
        <v>121</v>
      </c>
      <c r="H44" s="4" t="s">
        <v>122</v>
      </c>
      <c r="I44" s="4"/>
      <c r="J44" s="4"/>
      <c r="K44" s="4">
        <v>211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224</v>
      </c>
      <c r="F45" s="4">
        <v>1225844.05</v>
      </c>
      <c r="G45" s="4" t="s">
        <v>123</v>
      </c>
      <c r="H45" s="4" t="s">
        <v>124</v>
      </c>
      <c r="I45" s="4"/>
      <c r="J45" s="4"/>
      <c r="K45" s="4">
        <v>224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1</v>
      </c>
      <c r="C46" s="4">
        <v>0</v>
      </c>
      <c r="D46" s="4">
        <v>2</v>
      </c>
      <c r="E46" s="4">
        <v>0</v>
      </c>
      <c r="F46" s="4">
        <v>220651.93</v>
      </c>
      <c r="G46" s="4" t="s">
        <v>187</v>
      </c>
      <c r="H46" s="4" t="s">
        <v>188</v>
      </c>
      <c r="I46" s="4"/>
      <c r="J46" s="4"/>
      <c r="K46" s="4">
        <v>212</v>
      </c>
      <c r="L46" s="4">
        <v>27</v>
      </c>
      <c r="M46" s="4">
        <v>0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1446495.98</v>
      </c>
      <c r="G47" s="4" t="s">
        <v>189</v>
      </c>
      <c r="H47" s="4" t="s">
        <v>190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9" spans="1:27" x14ac:dyDescent="0.2">
      <c r="A49">
        <v>-1</v>
      </c>
    </row>
    <row r="52" spans="1:27" x14ac:dyDescent="0.2">
      <c r="A52" s="3">
        <v>75</v>
      </c>
      <c r="B52" s="3" t="s">
        <v>191</v>
      </c>
      <c r="C52" s="3">
        <v>2018</v>
      </c>
      <c r="D52" s="3">
        <v>0</v>
      </c>
      <c r="E52" s="3">
        <v>7</v>
      </c>
      <c r="F52" s="3"/>
      <c r="G52" s="3">
        <v>0</v>
      </c>
      <c r="H52" s="3">
        <v>2</v>
      </c>
      <c r="I52" s="3">
        <v>1</v>
      </c>
      <c r="J52" s="3">
        <v>1</v>
      </c>
      <c r="K52" s="3">
        <v>93</v>
      </c>
      <c r="L52" s="3">
        <v>64</v>
      </c>
      <c r="M52" s="3">
        <v>0</v>
      </c>
      <c r="N52" s="3">
        <v>35678934</v>
      </c>
      <c r="O52" s="3">
        <v>1</v>
      </c>
    </row>
    <row r="53" spans="1:27" x14ac:dyDescent="0.2">
      <c r="A53" s="5">
        <v>1</v>
      </c>
      <c r="B53" s="5" t="s">
        <v>192</v>
      </c>
      <c r="C53" s="5" t="s">
        <v>193</v>
      </c>
      <c r="D53" s="5">
        <v>2018</v>
      </c>
      <c r="E53" s="5">
        <v>7</v>
      </c>
      <c r="F53" s="5">
        <v>1</v>
      </c>
      <c r="G53" s="5">
        <v>1</v>
      </c>
      <c r="H53" s="5">
        <v>0</v>
      </c>
      <c r="I53" s="5">
        <v>2</v>
      </c>
      <c r="J53" s="5">
        <v>1</v>
      </c>
      <c r="K53" s="5">
        <v>1</v>
      </c>
      <c r="L53" s="5">
        <v>1</v>
      </c>
      <c r="M53" s="5">
        <v>1</v>
      </c>
      <c r="N53" s="5">
        <v>1</v>
      </c>
      <c r="O53" s="5">
        <v>1</v>
      </c>
      <c r="P53" s="5">
        <v>1</v>
      </c>
      <c r="Q53" s="5">
        <v>1</v>
      </c>
      <c r="R53" s="5" t="s">
        <v>3</v>
      </c>
      <c r="S53" s="5" t="s">
        <v>3</v>
      </c>
      <c r="T53" s="5" t="s">
        <v>3</v>
      </c>
      <c r="U53" s="5" t="s">
        <v>3</v>
      </c>
      <c r="V53" s="5" t="s">
        <v>3</v>
      </c>
      <c r="W53" s="5" t="s">
        <v>3</v>
      </c>
      <c r="X53" s="5" t="s">
        <v>3</v>
      </c>
      <c r="Y53" s="5" t="s">
        <v>3</v>
      </c>
      <c r="Z53" s="5" t="s">
        <v>3</v>
      </c>
      <c r="AA53" s="5" t="s">
        <v>194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9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7" x14ac:dyDescent="0.2">
      <c r="A1">
        <f>ROW(Source!A28)</f>
        <v>28</v>
      </c>
      <c r="B1">
        <v>35678934</v>
      </c>
      <c r="C1">
        <v>35679162</v>
      </c>
      <c r="D1">
        <v>7157835</v>
      </c>
      <c r="E1">
        <v>7157832</v>
      </c>
      <c r="F1">
        <v>1</v>
      </c>
      <c r="G1">
        <v>7157832</v>
      </c>
      <c r="H1">
        <v>1</v>
      </c>
      <c r="I1" t="s">
        <v>196</v>
      </c>
      <c r="J1" t="s">
        <v>3</v>
      </c>
      <c r="K1" t="s">
        <v>197</v>
      </c>
      <c r="L1">
        <v>1191</v>
      </c>
      <c r="N1">
        <v>1013</v>
      </c>
      <c r="O1" t="s">
        <v>198</v>
      </c>
      <c r="P1" t="s">
        <v>198</v>
      </c>
      <c r="Q1">
        <v>1</v>
      </c>
      <c r="W1">
        <v>0</v>
      </c>
      <c r="X1">
        <v>946207192</v>
      </c>
      <c r="Y1">
        <v>256.04750000000001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222.65</v>
      </c>
      <c r="AU1" t="s">
        <v>21</v>
      </c>
      <c r="AV1">
        <v>1</v>
      </c>
      <c r="AW1">
        <v>2</v>
      </c>
      <c r="AX1">
        <v>35679164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Y1*Source!I28</f>
        <v>477.27254000000005</v>
      </c>
      <c r="CY1">
        <f>AD1</f>
        <v>0</v>
      </c>
      <c r="CZ1">
        <f>AH1</f>
        <v>0</v>
      </c>
      <c r="DA1">
        <f>AL1</f>
        <v>1</v>
      </c>
      <c r="DB1">
        <f>ROUND((ROUND(AT1*CZ1,2)*1.15),6)</f>
        <v>0</v>
      </c>
      <c r="DC1">
        <f>ROUND((ROUND(AT1*AG1,2)*1.15),6)</f>
        <v>0</v>
      </c>
    </row>
    <row r="2" spans="1:107" x14ac:dyDescent="0.2">
      <c r="A2">
        <f>ROW(Source!A29)</f>
        <v>29</v>
      </c>
      <c r="B2">
        <v>35678934</v>
      </c>
      <c r="C2">
        <v>35679165</v>
      </c>
      <c r="D2">
        <v>7157835</v>
      </c>
      <c r="E2">
        <v>7157832</v>
      </c>
      <c r="F2">
        <v>1</v>
      </c>
      <c r="G2">
        <v>7157832</v>
      </c>
      <c r="H2">
        <v>1</v>
      </c>
      <c r="I2" t="s">
        <v>196</v>
      </c>
      <c r="J2" t="s">
        <v>3</v>
      </c>
      <c r="K2" t="s">
        <v>197</v>
      </c>
      <c r="L2">
        <v>1191</v>
      </c>
      <c r="N2">
        <v>1013</v>
      </c>
      <c r="O2" t="s">
        <v>198</v>
      </c>
      <c r="P2" t="s">
        <v>198</v>
      </c>
      <c r="Q2">
        <v>1</v>
      </c>
      <c r="W2">
        <v>0</v>
      </c>
      <c r="X2">
        <v>946207192</v>
      </c>
      <c r="Y2">
        <v>123.096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107.04</v>
      </c>
      <c r="AU2" t="s">
        <v>21</v>
      </c>
      <c r="AV2">
        <v>1</v>
      </c>
      <c r="AW2">
        <v>2</v>
      </c>
      <c r="AX2">
        <v>35679167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Y2*Source!I29</f>
        <v>229.32784800000002</v>
      </c>
      <c r="CY2">
        <f>AD2</f>
        <v>0</v>
      </c>
      <c r="CZ2">
        <f>AH2</f>
        <v>0</v>
      </c>
      <c r="DA2">
        <f>AL2</f>
        <v>1</v>
      </c>
      <c r="DB2">
        <f>ROUND((ROUND(AT2*CZ2,2)*1.15),6)</f>
        <v>0</v>
      </c>
      <c r="DC2">
        <f>ROUND((ROUND(AT2*AG2,2)*1.15),6)</f>
        <v>0</v>
      </c>
    </row>
    <row r="3" spans="1:107" x14ac:dyDescent="0.2">
      <c r="A3">
        <f>ROW(Source!A31)</f>
        <v>31</v>
      </c>
      <c r="B3">
        <v>35678934</v>
      </c>
      <c r="C3">
        <v>35679169</v>
      </c>
      <c r="D3">
        <v>7157835</v>
      </c>
      <c r="E3">
        <v>7157832</v>
      </c>
      <c r="F3">
        <v>1</v>
      </c>
      <c r="G3">
        <v>7157832</v>
      </c>
      <c r="H3">
        <v>1</v>
      </c>
      <c r="I3" t="s">
        <v>196</v>
      </c>
      <c r="J3" t="s">
        <v>3</v>
      </c>
      <c r="K3" t="s">
        <v>197</v>
      </c>
      <c r="L3">
        <v>1191</v>
      </c>
      <c r="N3">
        <v>1013</v>
      </c>
      <c r="O3" t="s">
        <v>198</v>
      </c>
      <c r="P3" t="s">
        <v>198</v>
      </c>
      <c r="Q3">
        <v>1</v>
      </c>
      <c r="W3">
        <v>0</v>
      </c>
      <c r="X3">
        <v>946207192</v>
      </c>
      <c r="Y3">
        <v>1.1200000000000001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1.1200000000000001</v>
      </c>
      <c r="AU3" t="s">
        <v>3</v>
      </c>
      <c r="AV3">
        <v>1</v>
      </c>
      <c r="AW3">
        <v>2</v>
      </c>
      <c r="AX3">
        <v>35679172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Y3*Source!I31</f>
        <v>20.160000000000004</v>
      </c>
      <c r="CY3">
        <f>AD3</f>
        <v>0</v>
      </c>
      <c r="CZ3">
        <f>AH3</f>
        <v>0</v>
      </c>
      <c r="DA3">
        <f>AL3</f>
        <v>1</v>
      </c>
      <c r="DB3">
        <f>ROUND(ROUND(AT3*CZ3,2),6)</f>
        <v>0</v>
      </c>
      <c r="DC3">
        <f>ROUND(ROUND(AT3*AG3,2),6)</f>
        <v>0</v>
      </c>
    </row>
    <row r="4" spans="1:107" x14ac:dyDescent="0.2">
      <c r="A4">
        <f>ROW(Source!A31)</f>
        <v>31</v>
      </c>
      <c r="B4">
        <v>35678934</v>
      </c>
      <c r="C4">
        <v>35679169</v>
      </c>
      <c r="D4">
        <v>7231371</v>
      </c>
      <c r="E4">
        <v>1</v>
      </c>
      <c r="F4">
        <v>1</v>
      </c>
      <c r="G4">
        <v>7157832</v>
      </c>
      <c r="H4">
        <v>2</v>
      </c>
      <c r="I4" t="s">
        <v>199</v>
      </c>
      <c r="J4" t="s">
        <v>200</v>
      </c>
      <c r="K4" t="s">
        <v>201</v>
      </c>
      <c r="L4">
        <v>1368</v>
      </c>
      <c r="N4">
        <v>1011</v>
      </c>
      <c r="O4" t="s">
        <v>182</v>
      </c>
      <c r="P4" t="s">
        <v>182</v>
      </c>
      <c r="Q4">
        <v>1</v>
      </c>
      <c r="W4">
        <v>0</v>
      </c>
      <c r="X4">
        <v>-483266024</v>
      </c>
      <c r="Y4">
        <v>0.38</v>
      </c>
      <c r="AA4">
        <v>0</v>
      </c>
      <c r="AB4">
        <v>1027.03</v>
      </c>
      <c r="AC4">
        <v>838.62</v>
      </c>
      <c r="AD4">
        <v>0</v>
      </c>
      <c r="AE4">
        <v>0</v>
      </c>
      <c r="AF4">
        <v>148.4</v>
      </c>
      <c r="AG4">
        <v>38.619999999999997</v>
      </c>
      <c r="AH4">
        <v>0</v>
      </c>
      <c r="AI4">
        <v>1</v>
      </c>
      <c r="AJ4">
        <v>6.61</v>
      </c>
      <c r="AK4">
        <v>20.74</v>
      </c>
      <c r="AL4">
        <v>1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0.38</v>
      </c>
      <c r="AU4" t="s">
        <v>3</v>
      </c>
      <c r="AV4">
        <v>0</v>
      </c>
      <c r="AW4">
        <v>2</v>
      </c>
      <c r="AX4">
        <v>35679173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Y4*Source!I31</f>
        <v>6.84</v>
      </c>
      <c r="CY4">
        <f>AB4</f>
        <v>1027.03</v>
      </c>
      <c r="CZ4">
        <f>AF4</f>
        <v>148.4</v>
      </c>
      <c r="DA4">
        <f>AJ4</f>
        <v>6.61</v>
      </c>
      <c r="DB4">
        <f>ROUND(ROUND(AT4*CZ4,2),6)</f>
        <v>56.39</v>
      </c>
      <c r="DC4">
        <f>ROUND(ROUND(AT4*AG4,2),6)</f>
        <v>14.68</v>
      </c>
    </row>
    <row r="5" spans="1:107" x14ac:dyDescent="0.2">
      <c r="A5">
        <f>ROW(Source!A32)</f>
        <v>32</v>
      </c>
      <c r="B5">
        <v>35678934</v>
      </c>
      <c r="C5">
        <v>35679174</v>
      </c>
      <c r="D5">
        <v>7157835</v>
      </c>
      <c r="E5">
        <v>7157832</v>
      </c>
      <c r="F5">
        <v>1</v>
      </c>
      <c r="G5">
        <v>7157832</v>
      </c>
      <c r="H5">
        <v>1</v>
      </c>
      <c r="I5" t="s">
        <v>196</v>
      </c>
      <c r="J5" t="s">
        <v>3</v>
      </c>
      <c r="K5" t="s">
        <v>197</v>
      </c>
      <c r="L5">
        <v>1191</v>
      </c>
      <c r="N5">
        <v>1013</v>
      </c>
      <c r="O5" t="s">
        <v>198</v>
      </c>
      <c r="P5" t="s">
        <v>198</v>
      </c>
      <c r="Q5">
        <v>1</v>
      </c>
      <c r="W5">
        <v>0</v>
      </c>
      <c r="X5">
        <v>946207192</v>
      </c>
      <c r="Y5">
        <v>12.42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10.8</v>
      </c>
      <c r="AU5" t="s">
        <v>21</v>
      </c>
      <c r="AV5">
        <v>1</v>
      </c>
      <c r="AW5">
        <v>2</v>
      </c>
      <c r="AX5">
        <v>35679178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Y5*Source!I32</f>
        <v>23.30613</v>
      </c>
      <c r="CY5">
        <f>AD5</f>
        <v>0</v>
      </c>
      <c r="CZ5">
        <f>AH5</f>
        <v>0</v>
      </c>
      <c r="DA5">
        <f>AL5</f>
        <v>1</v>
      </c>
      <c r="DB5">
        <f>ROUND((ROUND(AT5*CZ5,2)*1.15),6)</f>
        <v>0</v>
      </c>
      <c r="DC5">
        <f>ROUND((ROUND(AT5*AG5,2)*1.15),6)</f>
        <v>0</v>
      </c>
    </row>
    <row r="6" spans="1:107" x14ac:dyDescent="0.2">
      <c r="A6">
        <f>ROW(Source!A32)</f>
        <v>32</v>
      </c>
      <c r="B6">
        <v>35678934</v>
      </c>
      <c r="C6">
        <v>35679174</v>
      </c>
      <c r="D6">
        <v>7231127</v>
      </c>
      <c r="E6">
        <v>1</v>
      </c>
      <c r="F6">
        <v>1</v>
      </c>
      <c r="G6">
        <v>7157832</v>
      </c>
      <c r="H6">
        <v>2</v>
      </c>
      <c r="I6" t="s">
        <v>202</v>
      </c>
      <c r="J6" t="s">
        <v>203</v>
      </c>
      <c r="K6" t="s">
        <v>204</v>
      </c>
      <c r="L6">
        <v>1368</v>
      </c>
      <c r="N6">
        <v>1011</v>
      </c>
      <c r="O6" t="s">
        <v>182</v>
      </c>
      <c r="P6" t="s">
        <v>182</v>
      </c>
      <c r="Q6">
        <v>1</v>
      </c>
      <c r="W6">
        <v>0</v>
      </c>
      <c r="X6">
        <v>1594498641</v>
      </c>
      <c r="Y6">
        <v>12.074999999999999</v>
      </c>
      <c r="AA6">
        <v>0</v>
      </c>
      <c r="AB6">
        <v>699.25</v>
      </c>
      <c r="AC6">
        <v>401.29</v>
      </c>
      <c r="AD6">
        <v>0</v>
      </c>
      <c r="AE6">
        <v>0</v>
      </c>
      <c r="AF6">
        <v>60.77</v>
      </c>
      <c r="AG6">
        <v>18.48</v>
      </c>
      <c r="AH6">
        <v>0</v>
      </c>
      <c r="AI6">
        <v>1</v>
      </c>
      <c r="AJ6">
        <v>10.99</v>
      </c>
      <c r="AK6">
        <v>20.74</v>
      </c>
      <c r="AL6">
        <v>1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10.5</v>
      </c>
      <c r="AU6" t="s">
        <v>21</v>
      </c>
      <c r="AV6">
        <v>0</v>
      </c>
      <c r="AW6">
        <v>2</v>
      </c>
      <c r="AX6">
        <v>35679179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Y6*Source!I32</f>
        <v>22.658737500000001</v>
      </c>
      <c r="CY6">
        <f>AB6</f>
        <v>699.25</v>
      </c>
      <c r="CZ6">
        <f>AF6</f>
        <v>60.77</v>
      </c>
      <c r="DA6">
        <f>AJ6</f>
        <v>10.99</v>
      </c>
      <c r="DB6">
        <f>ROUND((ROUND(AT6*CZ6,2)*1.15),6)</f>
        <v>733.80349999999999</v>
      </c>
      <c r="DC6">
        <f>ROUND((ROUND(AT6*AG6,2)*1.15),6)</f>
        <v>223.14599999999999</v>
      </c>
    </row>
    <row r="7" spans="1:107" x14ac:dyDescent="0.2">
      <c r="A7">
        <f>ROW(Source!A32)</f>
        <v>32</v>
      </c>
      <c r="B7">
        <v>35678934</v>
      </c>
      <c r="C7">
        <v>35679174</v>
      </c>
      <c r="D7">
        <v>7231440</v>
      </c>
      <c r="E7">
        <v>1</v>
      </c>
      <c r="F7">
        <v>1</v>
      </c>
      <c r="G7">
        <v>7157832</v>
      </c>
      <c r="H7">
        <v>2</v>
      </c>
      <c r="I7" t="s">
        <v>205</v>
      </c>
      <c r="J7" t="s">
        <v>206</v>
      </c>
      <c r="K7" t="s">
        <v>207</v>
      </c>
      <c r="L7">
        <v>1368</v>
      </c>
      <c r="N7">
        <v>1011</v>
      </c>
      <c r="O7" t="s">
        <v>182</v>
      </c>
      <c r="P7" t="s">
        <v>182</v>
      </c>
      <c r="Q7">
        <v>1</v>
      </c>
      <c r="W7">
        <v>0</v>
      </c>
      <c r="X7">
        <v>-412534680</v>
      </c>
      <c r="Y7">
        <v>12.074999999999999</v>
      </c>
      <c r="AA7">
        <v>0</v>
      </c>
      <c r="AB7">
        <v>3.21</v>
      </c>
      <c r="AC7">
        <v>1.95</v>
      </c>
      <c r="AD7">
        <v>0</v>
      </c>
      <c r="AE7">
        <v>0</v>
      </c>
      <c r="AF7">
        <v>0.56000000000000005</v>
      </c>
      <c r="AG7">
        <v>0.09</v>
      </c>
      <c r="AH7">
        <v>0</v>
      </c>
      <c r="AI7">
        <v>1</v>
      </c>
      <c r="AJ7">
        <v>5.48</v>
      </c>
      <c r="AK7">
        <v>20.74</v>
      </c>
      <c r="AL7">
        <v>1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10.5</v>
      </c>
      <c r="AU7" t="s">
        <v>21</v>
      </c>
      <c r="AV7">
        <v>0</v>
      </c>
      <c r="AW7">
        <v>2</v>
      </c>
      <c r="AX7">
        <v>35679180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Y7*Source!I32</f>
        <v>22.658737500000001</v>
      </c>
      <c r="CY7">
        <f>AB7</f>
        <v>3.21</v>
      </c>
      <c r="CZ7">
        <f>AF7</f>
        <v>0.56000000000000005</v>
      </c>
      <c r="DA7">
        <f>AJ7</f>
        <v>5.48</v>
      </c>
      <c r="DB7">
        <f>ROUND((ROUND(AT7*CZ7,2)*1.15),6)</f>
        <v>6.7619999999999996</v>
      </c>
      <c r="DC7">
        <f>ROUND((ROUND(AT7*AG7,2)*1.15),6)</f>
        <v>1.0925</v>
      </c>
    </row>
    <row r="8" spans="1:107" x14ac:dyDescent="0.2">
      <c r="A8">
        <f>ROW(Source!A33)</f>
        <v>33</v>
      </c>
      <c r="B8">
        <v>35678934</v>
      </c>
      <c r="C8">
        <v>35679181</v>
      </c>
      <c r="D8">
        <v>7157835</v>
      </c>
      <c r="E8">
        <v>7157832</v>
      </c>
      <c r="F8">
        <v>1</v>
      </c>
      <c r="G8">
        <v>7157832</v>
      </c>
      <c r="H8">
        <v>1</v>
      </c>
      <c r="I8" t="s">
        <v>196</v>
      </c>
      <c r="J8" t="s">
        <v>3</v>
      </c>
      <c r="K8" t="s">
        <v>197</v>
      </c>
      <c r="L8">
        <v>1191</v>
      </c>
      <c r="N8">
        <v>1013</v>
      </c>
      <c r="O8" t="s">
        <v>198</v>
      </c>
      <c r="P8" t="s">
        <v>198</v>
      </c>
      <c r="Q8">
        <v>1</v>
      </c>
      <c r="W8">
        <v>0</v>
      </c>
      <c r="X8">
        <v>946207192</v>
      </c>
      <c r="Y8">
        <v>83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1</v>
      </c>
      <c r="AP8">
        <v>0</v>
      </c>
      <c r="AQ8">
        <v>0</v>
      </c>
      <c r="AR8">
        <v>0</v>
      </c>
      <c r="AS8" t="s">
        <v>3</v>
      </c>
      <c r="AT8">
        <v>83</v>
      </c>
      <c r="AU8" t="s">
        <v>3</v>
      </c>
      <c r="AV8">
        <v>1</v>
      </c>
      <c r="AW8">
        <v>2</v>
      </c>
      <c r="AX8">
        <v>35679183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Y8*Source!I33</f>
        <v>6.6400000000000006</v>
      </c>
      <c r="CY8">
        <f>AD8</f>
        <v>0</v>
      </c>
      <c r="CZ8">
        <f>AH8</f>
        <v>0</v>
      </c>
      <c r="DA8">
        <f>AL8</f>
        <v>1</v>
      </c>
      <c r="DB8">
        <f>ROUND(ROUND(AT8*CZ8,2),6)</f>
        <v>0</v>
      </c>
      <c r="DC8">
        <f>ROUND(ROUND(AT8*AG8,2),6)</f>
        <v>0</v>
      </c>
    </row>
    <row r="9" spans="1:107" x14ac:dyDescent="0.2">
      <c r="A9">
        <f>ROW(Source!A77)</f>
        <v>77</v>
      </c>
      <c r="B9">
        <v>35678934</v>
      </c>
      <c r="C9">
        <v>35679193</v>
      </c>
      <c r="D9">
        <v>16099579</v>
      </c>
      <c r="E9">
        <v>7157832</v>
      </c>
      <c r="F9">
        <v>1</v>
      </c>
      <c r="G9">
        <v>7157832</v>
      </c>
      <c r="H9">
        <v>3</v>
      </c>
      <c r="I9" t="s">
        <v>170</v>
      </c>
      <c r="J9" t="s">
        <v>3</v>
      </c>
      <c r="K9" t="s">
        <v>171</v>
      </c>
      <c r="L9">
        <v>1354</v>
      </c>
      <c r="N9">
        <v>1010</v>
      </c>
      <c r="O9" t="s">
        <v>155</v>
      </c>
      <c r="P9" t="s">
        <v>155</v>
      </c>
      <c r="Q9">
        <v>1</v>
      </c>
      <c r="W9">
        <v>0</v>
      </c>
      <c r="X9">
        <v>-1353261033</v>
      </c>
      <c r="Y9">
        <v>206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0</v>
      </c>
      <c r="AP9">
        <v>0</v>
      </c>
      <c r="AQ9">
        <v>0</v>
      </c>
      <c r="AR9">
        <v>0</v>
      </c>
      <c r="AS9" t="s">
        <v>3</v>
      </c>
      <c r="AT9">
        <v>206</v>
      </c>
      <c r="AU9" t="s">
        <v>3</v>
      </c>
      <c r="AV9">
        <v>0</v>
      </c>
      <c r="AW9">
        <v>2</v>
      </c>
      <c r="AX9">
        <v>35679195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Y9*Source!I77</f>
        <v>447.02</v>
      </c>
      <c r="CY9">
        <f>AA9</f>
        <v>0</v>
      </c>
      <c r="CZ9">
        <f>AE9</f>
        <v>0</v>
      </c>
      <c r="DA9">
        <f>AI9</f>
        <v>1</v>
      </c>
      <c r="DB9">
        <f>ROUND(ROUND(AT9*CZ9,2),6)</f>
        <v>0</v>
      </c>
      <c r="DC9">
        <f>ROUND(ROUND(AT9*AG9,2),6)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35679164</v>
      </c>
      <c r="C1">
        <v>35679162</v>
      </c>
      <c r="D1">
        <v>7157835</v>
      </c>
      <c r="E1">
        <v>7157832</v>
      </c>
      <c r="F1">
        <v>1</v>
      </c>
      <c r="G1">
        <v>7157832</v>
      </c>
      <c r="H1">
        <v>1</v>
      </c>
      <c r="I1" t="s">
        <v>196</v>
      </c>
      <c r="J1" t="s">
        <v>3</v>
      </c>
      <c r="K1" t="s">
        <v>197</v>
      </c>
      <c r="L1">
        <v>1191</v>
      </c>
      <c r="N1">
        <v>1013</v>
      </c>
      <c r="O1" t="s">
        <v>198</v>
      </c>
      <c r="P1" t="s">
        <v>198</v>
      </c>
      <c r="Q1">
        <v>1</v>
      </c>
      <c r="X1">
        <v>222.65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21</v>
      </c>
      <c r="AG1">
        <v>256.04750000000001</v>
      </c>
      <c r="AH1">
        <v>2</v>
      </c>
      <c r="AI1">
        <v>35679163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ROW(Source!A29)</f>
        <v>29</v>
      </c>
      <c r="B2">
        <v>35679167</v>
      </c>
      <c r="C2">
        <v>35679165</v>
      </c>
      <c r="D2">
        <v>7157835</v>
      </c>
      <c r="E2">
        <v>7157832</v>
      </c>
      <c r="F2">
        <v>1</v>
      </c>
      <c r="G2">
        <v>7157832</v>
      </c>
      <c r="H2">
        <v>1</v>
      </c>
      <c r="I2" t="s">
        <v>196</v>
      </c>
      <c r="J2" t="s">
        <v>3</v>
      </c>
      <c r="K2" t="s">
        <v>197</v>
      </c>
      <c r="L2">
        <v>1191</v>
      </c>
      <c r="N2">
        <v>1013</v>
      </c>
      <c r="O2" t="s">
        <v>198</v>
      </c>
      <c r="P2" t="s">
        <v>198</v>
      </c>
      <c r="Q2">
        <v>1</v>
      </c>
      <c r="X2">
        <v>107.04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1</v>
      </c>
      <c r="AF2" t="s">
        <v>21</v>
      </c>
      <c r="AG2">
        <v>123.096</v>
      </c>
      <c r="AH2">
        <v>2</v>
      </c>
      <c r="AI2">
        <v>35679166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ROW(Source!A31)</f>
        <v>31</v>
      </c>
      <c r="B3">
        <v>35679172</v>
      </c>
      <c r="C3">
        <v>35679169</v>
      </c>
      <c r="D3">
        <v>7157835</v>
      </c>
      <c r="E3">
        <v>7157832</v>
      </c>
      <c r="F3">
        <v>1</v>
      </c>
      <c r="G3">
        <v>7157832</v>
      </c>
      <c r="H3">
        <v>1</v>
      </c>
      <c r="I3" t="s">
        <v>196</v>
      </c>
      <c r="J3" t="s">
        <v>3</v>
      </c>
      <c r="K3" t="s">
        <v>197</v>
      </c>
      <c r="L3">
        <v>1191</v>
      </c>
      <c r="N3">
        <v>1013</v>
      </c>
      <c r="O3" t="s">
        <v>198</v>
      </c>
      <c r="P3" t="s">
        <v>198</v>
      </c>
      <c r="Q3">
        <v>1</v>
      </c>
      <c r="X3">
        <v>1.1200000000000001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 t="s">
        <v>3</v>
      </c>
      <c r="AG3">
        <v>1.1200000000000001</v>
      </c>
      <c r="AH3">
        <v>2</v>
      </c>
      <c r="AI3">
        <v>35679170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ROW(Source!A31)</f>
        <v>31</v>
      </c>
      <c r="B4">
        <v>35679173</v>
      </c>
      <c r="C4">
        <v>35679169</v>
      </c>
      <c r="D4">
        <v>7231371</v>
      </c>
      <c r="E4">
        <v>1</v>
      </c>
      <c r="F4">
        <v>1</v>
      </c>
      <c r="G4">
        <v>7157832</v>
      </c>
      <c r="H4">
        <v>2</v>
      </c>
      <c r="I4" t="s">
        <v>199</v>
      </c>
      <c r="J4" t="s">
        <v>200</v>
      </c>
      <c r="K4" t="s">
        <v>201</v>
      </c>
      <c r="L4">
        <v>1368</v>
      </c>
      <c r="N4">
        <v>1011</v>
      </c>
      <c r="O4" t="s">
        <v>182</v>
      </c>
      <c r="P4" t="s">
        <v>182</v>
      </c>
      <c r="Q4">
        <v>1</v>
      </c>
      <c r="X4">
        <v>0.38</v>
      </c>
      <c r="Y4">
        <v>0</v>
      </c>
      <c r="Z4">
        <v>148.4</v>
      </c>
      <c r="AA4">
        <v>38.619999999999997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0.38</v>
      </c>
      <c r="AH4">
        <v>2</v>
      </c>
      <c r="AI4">
        <v>35679171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ROW(Source!A32)</f>
        <v>32</v>
      </c>
      <c r="B5">
        <v>35679178</v>
      </c>
      <c r="C5">
        <v>35679174</v>
      </c>
      <c r="D5">
        <v>7157835</v>
      </c>
      <c r="E5">
        <v>7157832</v>
      </c>
      <c r="F5">
        <v>1</v>
      </c>
      <c r="G5">
        <v>7157832</v>
      </c>
      <c r="H5">
        <v>1</v>
      </c>
      <c r="I5" t="s">
        <v>196</v>
      </c>
      <c r="J5" t="s">
        <v>3</v>
      </c>
      <c r="K5" t="s">
        <v>197</v>
      </c>
      <c r="L5">
        <v>1191</v>
      </c>
      <c r="N5">
        <v>1013</v>
      </c>
      <c r="O5" t="s">
        <v>198</v>
      </c>
      <c r="P5" t="s">
        <v>198</v>
      </c>
      <c r="Q5">
        <v>1</v>
      </c>
      <c r="X5">
        <v>10.8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1</v>
      </c>
      <c r="AF5" t="s">
        <v>21</v>
      </c>
      <c r="AG5">
        <v>12.42</v>
      </c>
      <c r="AH5">
        <v>2</v>
      </c>
      <c r="AI5">
        <v>35679175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ROW(Source!A32)</f>
        <v>32</v>
      </c>
      <c r="B6">
        <v>35679179</v>
      </c>
      <c r="C6">
        <v>35679174</v>
      </c>
      <c r="D6">
        <v>7231127</v>
      </c>
      <c r="E6">
        <v>1</v>
      </c>
      <c r="F6">
        <v>1</v>
      </c>
      <c r="G6">
        <v>7157832</v>
      </c>
      <c r="H6">
        <v>2</v>
      </c>
      <c r="I6" t="s">
        <v>202</v>
      </c>
      <c r="J6" t="s">
        <v>203</v>
      </c>
      <c r="K6" t="s">
        <v>204</v>
      </c>
      <c r="L6">
        <v>1368</v>
      </c>
      <c r="N6">
        <v>1011</v>
      </c>
      <c r="O6" t="s">
        <v>182</v>
      </c>
      <c r="P6" t="s">
        <v>182</v>
      </c>
      <c r="Q6">
        <v>1</v>
      </c>
      <c r="X6">
        <v>10.5</v>
      </c>
      <c r="Y6">
        <v>0</v>
      </c>
      <c r="Z6">
        <v>60.77</v>
      </c>
      <c r="AA6">
        <v>18.48</v>
      </c>
      <c r="AB6">
        <v>0</v>
      </c>
      <c r="AC6">
        <v>0</v>
      </c>
      <c r="AD6">
        <v>1</v>
      </c>
      <c r="AE6">
        <v>0</v>
      </c>
      <c r="AF6" t="s">
        <v>21</v>
      </c>
      <c r="AG6">
        <v>12.074999999999999</v>
      </c>
      <c r="AH6">
        <v>2</v>
      </c>
      <c r="AI6">
        <v>35679176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ROW(Source!A32)</f>
        <v>32</v>
      </c>
      <c r="B7">
        <v>35679180</v>
      </c>
      <c r="C7">
        <v>35679174</v>
      </c>
      <c r="D7">
        <v>7231440</v>
      </c>
      <c r="E7">
        <v>1</v>
      </c>
      <c r="F7">
        <v>1</v>
      </c>
      <c r="G7">
        <v>7157832</v>
      </c>
      <c r="H7">
        <v>2</v>
      </c>
      <c r="I7" t="s">
        <v>205</v>
      </c>
      <c r="J7" t="s">
        <v>206</v>
      </c>
      <c r="K7" t="s">
        <v>207</v>
      </c>
      <c r="L7">
        <v>1368</v>
      </c>
      <c r="N7">
        <v>1011</v>
      </c>
      <c r="O7" t="s">
        <v>182</v>
      </c>
      <c r="P7" t="s">
        <v>182</v>
      </c>
      <c r="Q7">
        <v>1</v>
      </c>
      <c r="X7">
        <v>10.5</v>
      </c>
      <c r="Y7">
        <v>0</v>
      </c>
      <c r="Z7">
        <v>0.56000000000000005</v>
      </c>
      <c r="AA7">
        <v>0.09</v>
      </c>
      <c r="AB7">
        <v>0</v>
      </c>
      <c r="AC7">
        <v>0</v>
      </c>
      <c r="AD7">
        <v>1</v>
      </c>
      <c r="AE7">
        <v>0</v>
      </c>
      <c r="AF7" t="s">
        <v>21</v>
      </c>
      <c r="AG7">
        <v>12.074999999999999</v>
      </c>
      <c r="AH7">
        <v>2</v>
      </c>
      <c r="AI7">
        <v>35679177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ROW(Source!A33)</f>
        <v>33</v>
      </c>
      <c r="B8">
        <v>35679183</v>
      </c>
      <c r="C8">
        <v>35679181</v>
      </c>
      <c r="D8">
        <v>7157835</v>
      </c>
      <c r="E8">
        <v>7157832</v>
      </c>
      <c r="F8">
        <v>1</v>
      </c>
      <c r="G8">
        <v>7157832</v>
      </c>
      <c r="H8">
        <v>1</v>
      </c>
      <c r="I8" t="s">
        <v>196</v>
      </c>
      <c r="J8" t="s">
        <v>3</v>
      </c>
      <c r="K8" t="s">
        <v>197</v>
      </c>
      <c r="L8">
        <v>1191</v>
      </c>
      <c r="N8">
        <v>1013</v>
      </c>
      <c r="O8" t="s">
        <v>198</v>
      </c>
      <c r="P8" t="s">
        <v>198</v>
      </c>
      <c r="Q8">
        <v>1</v>
      </c>
      <c r="X8">
        <v>83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1</v>
      </c>
      <c r="AF8" t="s">
        <v>3</v>
      </c>
      <c r="AG8">
        <v>83</v>
      </c>
      <c r="AH8">
        <v>2</v>
      </c>
      <c r="AI8">
        <v>35679182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ROW(Source!A77)</f>
        <v>77</v>
      </c>
      <c r="B9">
        <v>35679195</v>
      </c>
      <c r="C9">
        <v>35679193</v>
      </c>
      <c r="D9">
        <v>16099579</v>
      </c>
      <c r="E9">
        <v>7157832</v>
      </c>
      <c r="F9">
        <v>1</v>
      </c>
      <c r="G9">
        <v>7157832</v>
      </c>
      <c r="H9">
        <v>3</v>
      </c>
      <c r="I9" t="s">
        <v>170</v>
      </c>
      <c r="J9" t="s">
        <v>3</v>
      </c>
      <c r="K9" t="s">
        <v>171</v>
      </c>
      <c r="L9">
        <v>1354</v>
      </c>
      <c r="N9">
        <v>1010</v>
      </c>
      <c r="O9" t="s">
        <v>155</v>
      </c>
      <c r="P9" t="s">
        <v>155</v>
      </c>
      <c r="Q9">
        <v>1</v>
      </c>
      <c r="X9">
        <v>206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 t="s">
        <v>3</v>
      </c>
      <c r="AG9">
        <v>206</v>
      </c>
      <c r="AH9">
        <v>2</v>
      </c>
      <c r="AI9">
        <v>35679194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Смета 12 гр. по ФЕР</vt:lpstr>
      <vt:lpstr>Source</vt:lpstr>
      <vt:lpstr>SourceObSm</vt:lpstr>
      <vt:lpstr>SmtRes</vt:lpstr>
      <vt:lpstr>EtalonRes</vt:lpstr>
      <vt:lpstr>'Смета 12 гр. по ФЕР'!Заголовки_для_печати</vt:lpstr>
      <vt:lpstr>'Смета 12 гр. по ФЕР'!Область_печати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Коновалова Наталья Витальевна</cp:lastModifiedBy>
  <cp:lastPrinted>2018-09-07T12:43:44Z</cp:lastPrinted>
  <dcterms:created xsi:type="dcterms:W3CDTF">2018-09-07T12:22:14Z</dcterms:created>
  <dcterms:modified xsi:type="dcterms:W3CDTF">2018-09-07T12:52:31Z</dcterms:modified>
</cp:coreProperties>
</file>